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0965" activeTab="0"/>
  </bookViews>
  <sheets>
    <sheet name="Indeks" sheetId="1" r:id="rId1"/>
    <sheet name="Reelle vægte" sheetId="2" r:id="rId2"/>
    <sheet name="Udvikling i indeks" sheetId="3" r:id="rId3"/>
    <sheet name="Kilder og dokumentation" sheetId="4" r:id="rId4"/>
    <sheet name="Note pris 10" sheetId="5" state="hidden" r:id="rId5"/>
  </sheets>
  <definedNames>
    <definedName name="LønStigning2009">'Indeks'!$J$58</definedName>
    <definedName name="LønStigning2010">'Indeks'!$J$82</definedName>
    <definedName name="LønStigning2011">'Indeks'!$J$94</definedName>
    <definedName name="PrisStigning2009">'Indeks'!$J$61</definedName>
    <definedName name="Prisstigning2010">'Indeks'!$J$85</definedName>
    <definedName name="PrisStigning2011">'Indeks'!$J$97</definedName>
    <definedName name="_xlnm.Print_Area" localSheetId="0">'Indeks'!$A$1:$J$250</definedName>
    <definedName name="_xlnm.Print_Area" localSheetId="3">'Kilder og dokumentation'!$A$1:$F$51</definedName>
    <definedName name="_xlnm.Print_Area" localSheetId="4">'Note pris 10'!$A$2:$K$7</definedName>
    <definedName name="_xlnm.Print_Titles" localSheetId="0">'Indeks'!$1:$3</definedName>
  </definedNames>
  <calcPr fullCalcOnLoad="1"/>
</workbook>
</file>

<file path=xl/comments1.xml><?xml version="1.0" encoding="utf-8"?>
<comments xmlns="http://schemas.openxmlformats.org/spreadsheetml/2006/main">
  <authors>
    <author>Lasse</author>
    <author>LENOVO USER</author>
  </authors>
  <commentList>
    <comment ref="H3" authorId="0">
      <text>
        <r>
          <rPr>
            <sz val="8"/>
            <rFont val="Tahoma"/>
            <family val="2"/>
          </rPr>
          <t>Beregning:
- Basis 100: 1. Januar 2008.
Eksempel:
100 + Procentvis ændring i lønindeks x 60 pct. + Procentvis ændring i dieselindeks x 17 pct. + Procentvis ændring i forbrugerindeks x 10 pct.  etc.
Det vil sige, at den procentvise ændring i hvert indeks (fra periode til periode) ganges med vægtningen (i pct.)</t>
        </r>
      </text>
    </comment>
    <comment ref="C100" authorId="1">
      <text>
        <r>
          <rPr>
            <b/>
            <sz val="8"/>
            <rFont val="Tahoma"/>
            <family val="2"/>
          </rPr>
          <t>LENOVO USER:</t>
        </r>
        <r>
          <rPr>
            <sz val="8"/>
            <rFont val="Tahoma"/>
            <family val="2"/>
          </rPr>
          <t xml:space="preserve">
ghffgnbjk</t>
        </r>
      </text>
    </comment>
  </commentList>
</comments>
</file>

<file path=xl/comments4.xml><?xml version="1.0" encoding="utf-8"?>
<comments xmlns="http://schemas.openxmlformats.org/spreadsheetml/2006/main">
  <authors>
    <author>Lasse</author>
    <author>Leif Carstens</author>
  </authors>
  <commentList>
    <comment ref="A8" authorId="0">
      <text>
        <r>
          <rPr>
            <sz val="8"/>
            <rFont val="Tahoma"/>
            <family val="2"/>
          </rPr>
          <t>Dette indeks skal dække omkostninger til reparation og vedligeholdelse</t>
        </r>
      </text>
    </comment>
    <comment ref="A10" authorId="1">
      <text>
        <r>
          <rPr>
            <b/>
            <sz val="9"/>
            <rFont val="Tahoma"/>
            <family val="2"/>
          </rPr>
          <t>Leif Carstens:</t>
        </r>
        <r>
          <rPr>
            <sz val="9"/>
            <rFont val="Tahoma"/>
            <family val="2"/>
          </rPr>
          <t xml:space="preserve">
Indekser opdateres ikke længere. Danmarks Statistik udarbejder specialkørsel indtil aug 2014. Se fanen "Note pris 10"</t>
        </r>
      </text>
    </comment>
  </commentList>
</comments>
</file>

<file path=xl/sharedStrings.xml><?xml version="1.0" encoding="utf-8"?>
<sst xmlns="http://schemas.openxmlformats.org/spreadsheetml/2006/main" count="914" uniqueCount="82">
  <si>
    <t>Indeks</t>
  </si>
  <si>
    <t>År</t>
  </si>
  <si>
    <t>Måned</t>
  </si>
  <si>
    <t>Løn</t>
  </si>
  <si>
    <t>Diesel</t>
  </si>
  <si>
    <t>Forbrug</t>
  </si>
  <si>
    <t>Maskiner</t>
  </si>
  <si>
    <t>Rente</t>
  </si>
  <si>
    <t>Januar</t>
  </si>
  <si>
    <t>Februar</t>
  </si>
  <si>
    <t>Marts</t>
  </si>
  <si>
    <t>April</t>
  </si>
  <si>
    <t>Maj</t>
  </si>
  <si>
    <t>Juni</t>
  </si>
  <si>
    <t>August</t>
  </si>
  <si>
    <t>September</t>
  </si>
  <si>
    <t>Oktober</t>
  </si>
  <si>
    <t>November</t>
  </si>
  <si>
    <t>December</t>
  </si>
  <si>
    <t>-</t>
  </si>
  <si>
    <t>∆ Måned</t>
  </si>
  <si>
    <t>I alt</t>
  </si>
  <si>
    <t>Reelle vægte</t>
  </si>
  <si>
    <t>Navn</t>
  </si>
  <si>
    <t>DST Betegnelse</t>
  </si>
  <si>
    <t>Opdateres</t>
  </si>
  <si>
    <t>Hver 3. måned</t>
  </si>
  <si>
    <t>Hver måned</t>
  </si>
  <si>
    <t>Vægt</t>
  </si>
  <si>
    <t>Kilde</t>
  </si>
  <si>
    <t>Danmarks Statistik - www.statistikbanken.dk</t>
  </si>
  <si>
    <t>Juli</t>
  </si>
  <si>
    <t>Skøn</t>
  </si>
  <si>
    <t>Kildebeskrivelse</t>
  </si>
  <si>
    <t>∆ Kvartal</t>
  </si>
  <si>
    <t>∆ År</t>
  </si>
  <si>
    <t>Udvikling i indeks</t>
  </si>
  <si>
    <t>∆ Halvår</t>
  </si>
  <si>
    <t>Forskydning</t>
  </si>
  <si>
    <t>6 måneder</t>
  </si>
  <si>
    <t>2 måneder</t>
  </si>
  <si>
    <t>Se note 1</t>
  </si>
  <si>
    <t>Se note 2</t>
  </si>
  <si>
    <t xml:space="preserve">Note 1: Omkostningsindekset for januar 2013 er ændret på grund af ændringer i lønsummen. </t>
  </si>
  <si>
    <t xml:space="preserve">Note 2: Omkostningsindekset for februar 2013 er ændret på grund af ændringer i lønsummen. </t>
  </si>
  <si>
    <t>Se note 3</t>
  </si>
  <si>
    <t>Note 3: Udarbejdet p.b.a. specielt udtræk af PRIS10 fra Danmarks Statistik. PRIS10 I ALT offentliggøres ikke længere.</t>
  </si>
  <si>
    <t>Note</t>
  </si>
  <si>
    <t>Kolonne1</t>
  </si>
  <si>
    <t>dec</t>
  </si>
  <si>
    <t>jan</t>
  </si>
  <si>
    <t>feb</t>
  </si>
  <si>
    <t>Anvendes</t>
  </si>
  <si>
    <t>mar</t>
  </si>
  <si>
    <t>apr</t>
  </si>
  <si>
    <t>2005=100</t>
  </si>
  <si>
    <t>2010=100</t>
  </si>
  <si>
    <t>Uggået indeks pris 10</t>
  </si>
  <si>
    <t>Indeks fremsendt til FynBus fra Danmarks Statistik</t>
  </si>
  <si>
    <t>Omregning</t>
  </si>
  <si>
    <t>maj</t>
  </si>
  <si>
    <t>jun</t>
  </si>
  <si>
    <t>juli</t>
  </si>
  <si>
    <t>juni</t>
  </si>
  <si>
    <t>august</t>
  </si>
  <si>
    <t>september</t>
  </si>
  <si>
    <t>oktober</t>
  </si>
  <si>
    <t>Se note 4</t>
  </si>
  <si>
    <r>
      <rPr>
        <b/>
        <sz val="10"/>
        <rFont val="Arial"/>
        <family val="2"/>
      </rPr>
      <t>Løn:</t>
    </r>
    <r>
      <rPr>
        <sz val="10"/>
        <rFont val="Arial"/>
        <family val="0"/>
      </rPr>
      <t xml:space="preserve"> Lønindeks for den private og offentlige sektor .. ILON2: Lønindeks for den private sektor (1. kvt. 2005 = 100) efter branche, tid og sæsonkorrigeret - TOTAL
</t>
    </r>
    <r>
      <rPr>
        <sz val="9"/>
        <rFont val="Arial"/>
        <family val="2"/>
      </rPr>
      <t>Fra 1.1.2013 reguleres lønindeks med ændring i lønsum (1,0101)</t>
    </r>
    <r>
      <rPr>
        <sz val="10"/>
        <rFont val="Arial"/>
        <family val="0"/>
      </rPr>
      <t xml:space="preserve">
Fra 1. kvt. 2014 ændret til ILON12.</t>
    </r>
  </si>
  <si>
    <t>.</t>
  </si>
  <si>
    <t>Note 5</t>
  </si>
  <si>
    <t>Note 5:</t>
  </si>
  <si>
    <r>
      <rPr>
        <b/>
        <sz val="10"/>
        <rFont val="Arial"/>
        <family val="2"/>
      </rPr>
      <t xml:space="preserve">Indkomst, forbrug og priser: </t>
    </r>
    <r>
      <rPr>
        <sz val="10"/>
        <rFont val="Arial"/>
        <family val="2"/>
      </rPr>
      <t>Prisindeks .. PRIS111: Forbrugerprisindeks - 07.2.2.1 Diesel</t>
    </r>
  </si>
  <si>
    <r>
      <rPr>
        <b/>
        <sz val="10"/>
        <rFont val="Arial"/>
        <family val="2"/>
      </rPr>
      <t>Indkomst, forbrug og priser:</t>
    </r>
    <r>
      <rPr>
        <sz val="10"/>
        <rFont val="Arial"/>
        <family val="2"/>
      </rPr>
      <t xml:space="preserve"> Prisindeks .. PRIS111: Forbrugerprisindeks - 00. I ALT</t>
    </r>
  </si>
  <si>
    <t>Udgået PRIS6 ultimo 2015 ændres til PRIS111 iht. Danmark Statistik</t>
  </si>
  <si>
    <t>Pris6  udgår og offentliggøres sidste gang december 2015 men ændres til PRIS111 primo 2016 iht. skrivelse fra Danmark Statistik</t>
  </si>
  <si>
    <t>Note 4a:</t>
  </si>
  <si>
    <t>Note 4b</t>
  </si>
  <si>
    <t>PRIS10 udgår og er ændret til PRIS 11.87 i alt,  iht. aftale mellem DB/DI og Trafikselskaberne i DK</t>
  </si>
  <si>
    <r>
      <rPr>
        <b/>
        <sz val="10"/>
        <rFont val="Arial"/>
        <family val="2"/>
      </rPr>
      <t>Indkomst, forbrug og priser:</t>
    </r>
    <r>
      <rPr>
        <sz val="10"/>
        <rFont val="Arial"/>
        <family val="2"/>
      </rPr>
      <t xml:space="preserve"> Prisindeks PRIS10 Prisindeks for indenlandsk vareforsyning - Maskiner og værktøjer samt varetransportmidler -  I ALT.
1.11.2014 PRIS10 UDGÅR og erstattes af PRIS11.87 køretøjer og dele detil I ALT.
</t>
    </r>
    <r>
      <rPr>
        <sz val="10"/>
        <color indexed="44"/>
        <rFont val="Arial"/>
        <family val="2"/>
      </rPr>
      <t xml:space="preserve">Erstattes 1.3.2019 af </t>
    </r>
    <r>
      <rPr>
        <b/>
        <sz val="10"/>
        <color indexed="44"/>
        <rFont val="Arial"/>
        <family val="2"/>
      </rPr>
      <t xml:space="preserve">PRIS1115.87 I ALT. </t>
    </r>
    <r>
      <rPr>
        <sz val="10"/>
        <color indexed="44"/>
        <rFont val="Arial"/>
        <family val="2"/>
      </rPr>
      <t>Indeksbasisåret er skiftet fra 2010=100 til 2015=100</t>
    </r>
  </si>
  <si>
    <t>Pris 11.87 erstattes fra 1.3.2019 af PRIS1115.87 I ALT. Indeksbasisåret er skiftet fra 2010=100 til 2015=100</t>
  </si>
  <si>
    <r>
      <rPr>
        <b/>
        <sz val="10"/>
        <rFont val="Arial"/>
        <family val="2"/>
      </rPr>
      <t xml:space="preserve">Udgår: Penge og kapitalmarked: </t>
    </r>
    <r>
      <rPr>
        <sz val="10"/>
        <rFont val="Arial"/>
        <family val="2"/>
      </rPr>
      <t xml:space="preserve">Rente- og kursudvikling .. </t>
    </r>
    <r>
      <rPr>
        <sz val="10"/>
        <rFont val="Arial"/>
        <family val="0"/>
      </rPr>
      <t xml:space="preserve">MPK3: Samtlige serier (Obligationsrentegennemsnit)
</t>
    </r>
    <r>
      <rPr>
        <b/>
        <sz val="10"/>
        <rFont val="Arial"/>
        <family val="2"/>
      </rPr>
      <t>Ændres fra 2021</t>
    </r>
    <r>
      <rPr>
        <sz val="10"/>
        <rFont val="Arial"/>
        <family val="0"/>
      </rPr>
      <t>: Renten hentes fra Nasdaq - Average Bond Yield (nasdaqomxnordic.com) rentegennemsnit</t>
    </r>
    <r>
      <rPr>
        <sz val="10"/>
        <rFont val="Arial"/>
        <family val="2"/>
      </rPr>
      <t>(trækkes på sidste rentedag i måneden)</t>
    </r>
  </si>
</sst>
</file>

<file path=xl/styles.xml><?xml version="1.0" encoding="utf-8"?>
<styleSheet xmlns="http://schemas.openxmlformats.org/spreadsheetml/2006/main">
  <numFmts count="4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_(* #,##0.00_);_(* \(#,##0.00\);_(* &quot;-&quot;??_);_(@_)"/>
    <numFmt numFmtId="179" formatCode="0.0"/>
    <numFmt numFmtId="180" formatCode="0.0%"/>
    <numFmt numFmtId="181" formatCode="#,##0.0_ ;\-#,##0.0\ 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0.0000"/>
    <numFmt numFmtId="186" formatCode="0.000"/>
    <numFmt numFmtId="187" formatCode="0.00000"/>
    <numFmt numFmtId="188" formatCode="_(* #,##0.0_);_(* \(#,##0.0\);_(* &quot;-&quot;??_);_(@_)"/>
    <numFmt numFmtId="189" formatCode="_(* #,##0.0_);_(* \(#,##0.0\);_(* &quot;-&quot;?_);_(@_)"/>
    <numFmt numFmtId="190" formatCode="_(* #,##0.000_);_(* \(#,##0.000\);_(* &quot;-&quot;?_);_(@_)"/>
    <numFmt numFmtId="191" formatCode="_ * #,##0.0_ ;_ * \-#,##0.0_ ;_ * &quot;-&quot;?_ ;_ @_ "/>
    <numFmt numFmtId="192" formatCode="_ * #,##0.0_ ;_ * \-#,##0.0_ ;_ * &quot;-&quot;??_ ;_ @_ "/>
    <numFmt numFmtId="193" formatCode="&quot;Ja&quot;;&quot;Ja&quot;;&quot;Nej&quot;"/>
    <numFmt numFmtId="194" formatCode="&quot;Sandt&quot;;&quot;Sandt&quot;;&quot;Falsk&quot;"/>
    <numFmt numFmtId="195" formatCode="&quot;Til&quot;;&quot;Til&quot;;&quot;Fra&quot;"/>
    <numFmt numFmtId="196" formatCode="[$€-2]\ #.##000_);[Red]\([$€-2]\ #.##000\)"/>
    <numFmt numFmtId="197" formatCode="_(* #,##0.000_);_(* \(#,##0.000\);_(* &quot;-&quot;??_);_(@_)"/>
    <numFmt numFmtId="198" formatCode="[$-406]d\.\ mmmm\ yyyy"/>
    <numFmt numFmtId="199" formatCode="#,##0.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i/>
      <sz val="10"/>
      <name val="Arial"/>
      <family val="2"/>
    </font>
    <font>
      <sz val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i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"/>
      <family val="2"/>
    </font>
    <font>
      <sz val="10"/>
      <color indexed="44"/>
      <name val="Arial"/>
      <family val="2"/>
    </font>
    <font>
      <b/>
      <sz val="10"/>
      <color indexed="4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lightDown">
        <fgColor theme="3" tint="0.5999600291252136"/>
      </patternFill>
    </fill>
    <fill>
      <patternFill patternType="lightDown">
        <f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2" applyNumberFormat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7" fillId="30" borderId="3" applyNumberFormat="0" applyAlignment="0" applyProtection="0"/>
    <xf numFmtId="0" fontId="1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50" fillId="21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9" fontId="3" fillId="0" borderId="0" xfId="0" applyNumberFormat="1" applyFont="1" applyAlignment="1">
      <alignment/>
    </xf>
    <xf numFmtId="178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179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179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78" fontId="0" fillId="0" borderId="10" xfId="0" applyNumberFormat="1" applyBorder="1" applyAlignment="1">
      <alignment/>
    </xf>
    <xf numFmtId="0" fontId="7" fillId="0" borderId="11" xfId="0" applyFont="1" applyBorder="1" applyAlignment="1">
      <alignment/>
    </xf>
    <xf numFmtId="0" fontId="0" fillId="0" borderId="11" xfId="0" applyBorder="1" applyAlignment="1">
      <alignment/>
    </xf>
    <xf numFmtId="179" fontId="0" fillId="0" borderId="11" xfId="0" applyNumberFormat="1" applyBorder="1" applyAlignment="1">
      <alignment/>
    </xf>
    <xf numFmtId="178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Border="1" applyAlignment="1">
      <alignment/>
    </xf>
    <xf numFmtId="179" fontId="0" fillId="0" borderId="11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9" fontId="0" fillId="0" borderId="0" xfId="0" applyNumberFormat="1" applyFill="1" applyBorder="1" applyAlignment="1">
      <alignment/>
    </xf>
    <xf numFmtId="171" fontId="0" fillId="0" borderId="0" xfId="0" applyNumberFormat="1" applyFont="1" applyAlignment="1">
      <alignment/>
    </xf>
    <xf numFmtId="171" fontId="8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" fillId="0" borderId="12" xfId="0" applyFont="1" applyBorder="1" applyAlignment="1">
      <alignment/>
    </xf>
    <xf numFmtId="0" fontId="0" fillId="0" borderId="12" xfId="0" applyBorder="1" applyAlignment="1">
      <alignment/>
    </xf>
    <xf numFmtId="179" fontId="0" fillId="0" borderId="12" xfId="0" applyNumberFormat="1" applyBorder="1" applyAlignment="1">
      <alignment/>
    </xf>
    <xf numFmtId="178" fontId="0" fillId="0" borderId="12" xfId="0" applyNumberForma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179" fontId="9" fillId="0" borderId="0" xfId="45" applyNumberFormat="1" applyFont="1" applyBorder="1" applyAlignment="1">
      <alignment horizontal="center"/>
    </xf>
    <xf numFmtId="179" fontId="10" fillId="0" borderId="0" xfId="45" applyNumberFormat="1" applyFont="1" applyBorder="1" applyAlignment="1">
      <alignment horizontal="center"/>
    </xf>
    <xf numFmtId="179" fontId="10" fillId="0" borderId="10" xfId="45" applyNumberFormat="1" applyFont="1" applyBorder="1" applyAlignment="1">
      <alignment horizontal="center"/>
    </xf>
    <xf numFmtId="179" fontId="10" fillId="0" borderId="11" xfId="45" applyNumberFormat="1" applyFont="1" applyBorder="1" applyAlignment="1">
      <alignment horizontal="center"/>
    </xf>
    <xf numFmtId="179" fontId="10" fillId="0" borderId="12" xfId="45" applyNumberFormat="1" applyFont="1" applyBorder="1" applyAlignment="1">
      <alignment horizontal="center"/>
    </xf>
    <xf numFmtId="179" fontId="10" fillId="0" borderId="0" xfId="45" applyNumberFormat="1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180" fontId="0" fillId="0" borderId="13" xfId="0" applyNumberFormat="1" applyBorder="1" applyAlignment="1">
      <alignment/>
    </xf>
    <xf numFmtId="178" fontId="0" fillId="33" borderId="0" xfId="0" applyNumberFormat="1" applyFill="1" applyBorder="1" applyAlignment="1">
      <alignment/>
    </xf>
    <xf numFmtId="178" fontId="0" fillId="33" borderId="10" xfId="0" applyNumberFormat="1" applyFill="1" applyBorder="1" applyAlignment="1">
      <alignment/>
    </xf>
    <xf numFmtId="178" fontId="0" fillId="33" borderId="11" xfId="0" applyNumberFormat="1" applyFill="1" applyBorder="1" applyAlignment="1">
      <alignment/>
    </xf>
    <xf numFmtId="181" fontId="8" fillId="0" borderId="0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79" fontId="0" fillId="0" borderId="10" xfId="0" applyNumberFormat="1" applyFill="1" applyBorder="1" applyAlignment="1">
      <alignment/>
    </xf>
    <xf numFmtId="179" fontId="1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79" fontId="0" fillId="0" borderId="11" xfId="0" applyNumberFormat="1" applyFill="1" applyBorder="1" applyAlignment="1">
      <alignment/>
    </xf>
    <xf numFmtId="179" fontId="0" fillId="0" borderId="12" xfId="0" applyNumberFormat="1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9" fontId="0" fillId="0" borderId="11" xfId="0" applyNumberFormat="1" applyFont="1" applyFill="1" applyBorder="1" applyAlignment="1">
      <alignment/>
    </xf>
    <xf numFmtId="179" fontId="10" fillId="0" borderId="11" xfId="0" applyNumberFormat="1" applyFont="1" applyFill="1" applyBorder="1" applyAlignment="1">
      <alignment horizontal="center"/>
    </xf>
    <xf numFmtId="179" fontId="0" fillId="0" borderId="0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2" fontId="0" fillId="0" borderId="12" xfId="0" applyNumberFormat="1" applyBorder="1" applyAlignment="1">
      <alignment/>
    </xf>
    <xf numFmtId="2" fontId="6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180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0" fillId="0" borderId="0" xfId="0" applyFont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180" fontId="0" fillId="0" borderId="12" xfId="0" applyNumberFormat="1" applyBorder="1" applyAlignment="1">
      <alignment/>
    </xf>
    <xf numFmtId="180" fontId="3" fillId="0" borderId="0" xfId="0" applyNumberFormat="1" applyFont="1" applyBorder="1" applyAlignment="1">
      <alignment/>
    </xf>
    <xf numFmtId="180" fontId="0" fillId="0" borderId="10" xfId="0" applyNumberFormat="1" applyFont="1" applyFill="1" applyBorder="1" applyAlignment="1">
      <alignment/>
    </xf>
    <xf numFmtId="180" fontId="0" fillId="0" borderId="0" xfId="0" applyNumberFormat="1" applyFill="1" applyAlignment="1">
      <alignment/>
    </xf>
    <xf numFmtId="180" fontId="0" fillId="0" borderId="12" xfId="0" applyNumberFormat="1" applyFill="1" applyBorder="1" applyAlignment="1">
      <alignment/>
    </xf>
    <xf numFmtId="178" fontId="10" fillId="0" borderId="0" xfId="45" applyFont="1" applyBorder="1" applyAlignment="1">
      <alignment horizontal="center"/>
    </xf>
    <xf numFmtId="178" fontId="10" fillId="0" borderId="10" xfId="45" applyFont="1" applyBorder="1" applyAlignment="1">
      <alignment horizontal="center"/>
    </xf>
    <xf numFmtId="178" fontId="10" fillId="0" borderId="11" xfId="45" applyFont="1" applyBorder="1" applyAlignment="1">
      <alignment horizontal="center"/>
    </xf>
    <xf numFmtId="178" fontId="10" fillId="0" borderId="12" xfId="45" applyFont="1" applyBorder="1" applyAlignment="1">
      <alignment horizontal="center"/>
    </xf>
    <xf numFmtId="2" fontId="6" fillId="34" borderId="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2" fillId="34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81" fontId="8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180" fontId="0" fillId="34" borderId="0" xfId="0" applyNumberFormat="1" applyFill="1" applyBorder="1" applyAlignment="1">
      <alignment/>
    </xf>
    <xf numFmtId="180" fontId="0" fillId="34" borderId="10" xfId="0" applyNumberFormat="1" applyFill="1" applyBorder="1" applyAlignment="1">
      <alignment/>
    </xf>
    <xf numFmtId="180" fontId="0" fillId="34" borderId="11" xfId="0" applyNumberFormat="1" applyFill="1" applyBorder="1" applyAlignment="1">
      <alignment/>
    </xf>
    <xf numFmtId="180" fontId="0" fillId="34" borderId="10" xfId="0" applyNumberFormat="1" applyFont="1" applyFill="1" applyBorder="1" applyAlignment="1">
      <alignment/>
    </xf>
    <xf numFmtId="180" fontId="0" fillId="34" borderId="0" xfId="0" applyNumberFormat="1" applyFill="1" applyAlignment="1">
      <alignment/>
    </xf>
    <xf numFmtId="178" fontId="10" fillId="0" borderId="0" xfId="45" applyFont="1" applyFill="1" applyBorder="1" applyAlignment="1">
      <alignment horizontal="center"/>
    </xf>
    <xf numFmtId="179" fontId="9" fillId="0" borderId="0" xfId="45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80" fontId="0" fillId="0" borderId="0" xfId="0" applyNumberFormat="1" applyFill="1" applyBorder="1" applyAlignment="1">
      <alignment/>
    </xf>
    <xf numFmtId="180" fontId="0" fillId="0" borderId="1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180" fontId="3" fillId="0" borderId="0" xfId="0" applyNumberFormat="1" applyFont="1" applyBorder="1" applyAlignment="1">
      <alignment horizontal="center"/>
    </xf>
    <xf numFmtId="179" fontId="0" fillId="0" borderId="0" xfId="0" applyNumberFormat="1" applyFon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9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180" fontId="0" fillId="0" borderId="0" xfId="0" applyNumberFormat="1" applyFon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180" fontId="0" fillId="0" borderId="11" xfId="0" applyNumberFormat="1" applyBorder="1" applyAlignment="1">
      <alignment horizontal="center"/>
    </xf>
    <xf numFmtId="180" fontId="0" fillId="0" borderId="12" xfId="0" applyNumberFormat="1" applyBorder="1" applyAlignment="1">
      <alignment horizontal="center"/>
    </xf>
    <xf numFmtId="179" fontId="0" fillId="0" borderId="12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179" fontId="10" fillId="0" borderId="12" xfId="0" applyNumberFormat="1" applyFont="1" applyFill="1" applyBorder="1" applyAlignment="1">
      <alignment horizontal="center"/>
    </xf>
    <xf numFmtId="180" fontId="0" fillId="0" borderId="12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179" fontId="0" fillId="0" borderId="13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180" fontId="0" fillId="0" borderId="13" xfId="0" applyNumberForma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79" fontId="10" fillId="0" borderId="10" xfId="45" applyNumberFormat="1" applyFont="1" applyFill="1" applyBorder="1" applyAlignment="1">
      <alignment horizontal="center"/>
    </xf>
    <xf numFmtId="179" fontId="10" fillId="0" borderId="11" xfId="45" applyNumberFormat="1" applyFont="1" applyFill="1" applyBorder="1" applyAlignment="1">
      <alignment horizontal="center"/>
    </xf>
    <xf numFmtId="180" fontId="0" fillId="0" borderId="11" xfId="0" applyNumberFormat="1" applyFont="1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Font="1" applyFill="1" applyAlignment="1">
      <alignment/>
    </xf>
    <xf numFmtId="9" fontId="0" fillId="0" borderId="0" xfId="0" applyNumberFormat="1" applyFill="1" applyAlignment="1">
      <alignment/>
    </xf>
    <xf numFmtId="180" fontId="0" fillId="0" borderId="0" xfId="0" applyNumberFormat="1" applyFont="1" applyFill="1" applyAlignment="1">
      <alignment/>
    </xf>
    <xf numFmtId="180" fontId="0" fillId="0" borderId="13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79" fontId="0" fillId="0" borderId="12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179" fontId="10" fillId="0" borderId="0" xfId="45" applyNumberFormat="1" applyFont="1" applyFill="1" applyBorder="1" applyAlignment="1">
      <alignment horizontal="center"/>
    </xf>
    <xf numFmtId="179" fontId="10" fillId="0" borderId="10" xfId="45" applyNumberFormat="1" applyFont="1" applyFill="1" applyBorder="1" applyAlignment="1">
      <alignment horizontal="center"/>
    </xf>
    <xf numFmtId="179" fontId="10" fillId="0" borderId="11" xfId="45" applyNumberFormat="1" applyFont="1" applyFill="1" applyBorder="1" applyAlignment="1">
      <alignment horizontal="center"/>
    </xf>
    <xf numFmtId="179" fontId="10" fillId="0" borderId="0" xfId="0" applyNumberFormat="1" applyFont="1" applyFill="1" applyBorder="1" applyAlignment="1">
      <alignment horizontal="center"/>
    </xf>
    <xf numFmtId="179" fontId="10" fillId="0" borderId="11" xfId="0" applyNumberFormat="1" applyFont="1" applyFill="1" applyBorder="1" applyAlignment="1">
      <alignment horizontal="center"/>
    </xf>
    <xf numFmtId="179" fontId="10" fillId="0" borderId="12" xfId="0" applyNumberFormat="1" applyFont="1" applyFill="1" applyBorder="1" applyAlignment="1">
      <alignment horizontal="center"/>
    </xf>
    <xf numFmtId="2" fontId="6" fillId="34" borderId="11" xfId="0" applyNumberFormat="1" applyFont="1" applyFill="1" applyBorder="1" applyAlignment="1">
      <alignment/>
    </xf>
    <xf numFmtId="179" fontId="6" fillId="34" borderId="0" xfId="0" applyNumberFormat="1" applyFont="1" applyFill="1" applyBorder="1" applyAlignment="1">
      <alignment/>
    </xf>
    <xf numFmtId="179" fontId="6" fillId="34" borderId="10" xfId="0" applyNumberFormat="1" applyFont="1" applyFill="1" applyBorder="1" applyAlignment="1">
      <alignment/>
    </xf>
    <xf numFmtId="179" fontId="6" fillId="34" borderId="11" xfId="0" applyNumberFormat="1" applyFont="1" applyFill="1" applyBorder="1" applyAlignment="1">
      <alignment/>
    </xf>
    <xf numFmtId="179" fontId="0" fillId="35" borderId="0" xfId="0" applyNumberFormat="1" applyFont="1" applyFill="1" applyBorder="1" applyAlignment="1">
      <alignment/>
    </xf>
    <xf numFmtId="179" fontId="10" fillId="35" borderId="0" xfId="45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179" fontId="15" fillId="34" borderId="0" xfId="45" applyNumberFormat="1" applyFont="1" applyFill="1" applyBorder="1" applyAlignment="1">
      <alignment horizontal="center"/>
    </xf>
    <xf numFmtId="179" fontId="15" fillId="34" borderId="10" xfId="45" applyNumberFormat="1" applyFont="1" applyFill="1" applyBorder="1" applyAlignment="1">
      <alignment horizontal="center"/>
    </xf>
    <xf numFmtId="180" fontId="0" fillId="0" borderId="11" xfId="0" applyNumberFormat="1" applyFont="1" applyFill="1" applyBorder="1" applyAlignment="1">
      <alignment/>
    </xf>
    <xf numFmtId="179" fontId="10" fillId="0" borderId="10" xfId="0" applyNumberFormat="1" applyFont="1" applyFill="1" applyBorder="1" applyAlignment="1">
      <alignment horizontal="center"/>
    </xf>
    <xf numFmtId="179" fontId="0" fillId="35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0" fillId="0" borderId="14" xfId="0" applyBorder="1" applyAlignment="1">
      <alignment/>
    </xf>
    <xf numFmtId="179" fontId="0" fillId="0" borderId="14" xfId="0" applyNumberFormat="1" applyFill="1" applyBorder="1" applyAlignment="1">
      <alignment/>
    </xf>
    <xf numFmtId="0" fontId="0" fillId="36" borderId="14" xfId="0" applyFill="1" applyBorder="1" applyAlignment="1">
      <alignment/>
    </xf>
    <xf numFmtId="179" fontId="0" fillId="35" borderId="14" xfId="0" applyNumberFormat="1" applyFill="1" applyBorder="1" applyAlignment="1">
      <alignment/>
    </xf>
    <xf numFmtId="192" fontId="0" fillId="0" borderId="14" xfId="45" applyNumberFormat="1" applyFont="1" applyBorder="1" applyAlignment="1">
      <alignment/>
    </xf>
    <xf numFmtId="0" fontId="3" fillId="0" borderId="14" xfId="0" applyFont="1" applyBorder="1" applyAlignment="1">
      <alignment/>
    </xf>
    <xf numFmtId="179" fontId="0" fillId="35" borderId="10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18" borderId="0" xfId="0" applyFont="1" applyFill="1" applyAlignment="1">
      <alignment/>
    </xf>
    <xf numFmtId="179" fontId="0" fillId="18" borderId="0" xfId="0" applyNumberFormat="1" applyFont="1" applyFill="1" applyBorder="1" applyAlignment="1">
      <alignment/>
    </xf>
    <xf numFmtId="179" fontId="0" fillId="18" borderId="12" xfId="0" applyNumberFormat="1" applyFont="1" applyFill="1" applyBorder="1" applyAlignment="1">
      <alignment/>
    </xf>
    <xf numFmtId="179" fontId="0" fillId="18" borderId="10" xfId="0" applyNumberFormat="1" applyFont="1" applyFill="1" applyBorder="1" applyAlignment="1">
      <alignment/>
    </xf>
    <xf numFmtId="179" fontId="0" fillId="0" borderId="0" xfId="0" applyNumberFormat="1" applyAlignment="1">
      <alignment/>
    </xf>
    <xf numFmtId="179" fontId="0" fillId="17" borderId="10" xfId="0" applyNumberFormat="1" applyFont="1" applyFill="1" applyBorder="1" applyAlignment="1">
      <alignment/>
    </xf>
    <xf numFmtId="0" fontId="0" fillId="17" borderId="0" xfId="0" applyFill="1" applyAlignment="1">
      <alignment/>
    </xf>
    <xf numFmtId="0" fontId="13" fillId="17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4" fillId="17" borderId="0" xfId="0" applyFont="1" applyFill="1" applyAlignment="1">
      <alignment/>
    </xf>
    <xf numFmtId="0" fontId="4" fillId="0" borderId="0" xfId="0" applyFont="1" applyAlignment="1">
      <alignment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 horizontal="center"/>
    </xf>
    <xf numFmtId="0" fontId="4" fillId="18" borderId="0" xfId="0" applyFont="1" applyFill="1" applyAlignment="1">
      <alignment/>
    </xf>
    <xf numFmtId="0" fontId="4" fillId="18" borderId="0" xfId="0" applyFont="1" applyFill="1" applyAlignment="1">
      <alignment horizontal="center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9" fontId="0" fillId="0" borderId="0" xfId="0" applyNumberFormat="1" applyFill="1" applyBorder="1" applyAlignment="1">
      <alignment/>
    </xf>
    <xf numFmtId="0" fontId="4" fillId="0" borderId="0" xfId="0" applyFont="1" applyFill="1" applyAlignment="1">
      <alignment wrapText="1"/>
    </xf>
    <xf numFmtId="179" fontId="0" fillId="17" borderId="0" xfId="0" applyNumberFormat="1" applyFont="1" applyFill="1" applyBorder="1" applyAlignment="1">
      <alignment/>
    </xf>
    <xf numFmtId="179" fontId="0" fillId="17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179" fontId="0" fillId="37" borderId="0" xfId="0" applyNumberFormat="1" applyFont="1" applyFill="1" applyBorder="1" applyAlignment="1">
      <alignment/>
    </xf>
    <xf numFmtId="178" fontId="0" fillId="0" borderId="0" xfId="45" applyFont="1" applyAlignment="1">
      <alignment/>
    </xf>
    <xf numFmtId="199" fontId="0" fillId="18" borderId="0" xfId="45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179" fontId="6" fillId="34" borderId="12" xfId="0" applyNumberFormat="1" applyFont="1" applyFill="1" applyBorder="1" applyAlignment="1">
      <alignment/>
    </xf>
    <xf numFmtId="2" fontId="6" fillId="34" borderId="12" xfId="0" applyNumberFormat="1" applyFont="1" applyFill="1" applyBorder="1" applyAlignment="1">
      <alignment/>
    </xf>
    <xf numFmtId="179" fontId="15" fillId="34" borderId="12" xfId="45" applyNumberFormat="1" applyFont="1" applyFill="1" applyBorder="1" applyAlignment="1">
      <alignment horizontal="center"/>
    </xf>
    <xf numFmtId="180" fontId="0" fillId="34" borderId="12" xfId="0" applyNumberFormat="1" applyFill="1" applyBorder="1" applyAlignment="1">
      <alignment/>
    </xf>
    <xf numFmtId="179" fontId="0" fillId="34" borderId="0" xfId="0" applyNumberFormat="1" applyFont="1" applyFill="1" applyBorder="1" applyAlignment="1">
      <alignment/>
    </xf>
    <xf numFmtId="179" fontId="0" fillId="34" borderId="10" xfId="0" applyNumberFormat="1" applyFont="1" applyFill="1" applyBorder="1" applyAlignment="1">
      <alignment/>
    </xf>
    <xf numFmtId="179" fontId="0" fillId="34" borderId="11" xfId="0" applyNumberFormat="1" applyFont="1" applyFill="1" applyBorder="1" applyAlignment="1">
      <alignment/>
    </xf>
    <xf numFmtId="180" fontId="0" fillId="34" borderId="10" xfId="0" applyNumberFormat="1" applyFont="1" applyFill="1" applyBorder="1" applyAlignment="1">
      <alignment/>
    </xf>
    <xf numFmtId="180" fontId="0" fillId="34" borderId="11" xfId="0" applyNumberFormat="1" applyFont="1" applyFill="1" applyBorder="1" applyAlignment="1">
      <alignment/>
    </xf>
    <xf numFmtId="180" fontId="0" fillId="34" borderId="0" xfId="0" applyNumberFormat="1" applyFont="1" applyFill="1" applyAlignment="1">
      <alignment/>
    </xf>
    <xf numFmtId="0" fontId="7" fillId="0" borderId="12" xfId="0" applyFont="1" applyFill="1" applyBorder="1" applyAlignment="1">
      <alignment/>
    </xf>
    <xf numFmtId="179" fontId="0" fillId="34" borderId="12" xfId="0" applyNumberFormat="1" applyFont="1" applyFill="1" applyBorder="1" applyAlignment="1">
      <alignment/>
    </xf>
    <xf numFmtId="180" fontId="0" fillId="34" borderId="12" xfId="0" applyNumberFormat="1" applyFont="1" applyFill="1" applyBorder="1" applyAlignment="1">
      <alignment/>
    </xf>
    <xf numFmtId="188" fontId="0" fillId="34" borderId="12" xfId="45" applyNumberFormat="1" applyFont="1" applyFill="1" applyBorder="1" applyAlignment="1">
      <alignment/>
    </xf>
    <xf numFmtId="179" fontId="0" fillId="0" borderId="13" xfId="0" applyNumberFormat="1" applyFont="1" applyFill="1" applyBorder="1" applyAlignment="1">
      <alignment/>
    </xf>
    <xf numFmtId="179" fontId="0" fillId="17" borderId="13" xfId="0" applyNumberFormat="1" applyFont="1" applyFill="1" applyBorder="1" applyAlignment="1">
      <alignment/>
    </xf>
    <xf numFmtId="179" fontId="0" fillId="18" borderId="13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179" fontId="10" fillId="0" borderId="13" xfId="0" applyNumberFormat="1" applyFont="1" applyFill="1" applyBorder="1" applyAlignment="1">
      <alignment horizontal="center"/>
    </xf>
  </cellXfs>
  <cellStyles count="53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mma 2" xfId="47"/>
    <cellStyle name="Kontrollér celle" xfId="48"/>
    <cellStyle name="Hyperlink" xfId="49"/>
    <cellStyle name="Link 2" xfId="50"/>
    <cellStyle name="Link 3" xfId="51"/>
    <cellStyle name="Neutral" xfId="52"/>
    <cellStyle name="Normal 2" xfId="53"/>
    <cellStyle name="Normal 3" xfId="54"/>
    <cellStyle name="Output" xfId="55"/>
    <cellStyle name="Overskrift 1" xfId="56"/>
    <cellStyle name="Overskrift 2" xfId="57"/>
    <cellStyle name="Overskrift 3" xfId="58"/>
    <cellStyle name="Overskrift 4" xfId="59"/>
    <cellStyle name="Percent" xfId="60"/>
    <cellStyle name="Sammenkædet celle" xfId="61"/>
    <cellStyle name="Titel" xfId="62"/>
    <cellStyle name="Total" xfId="63"/>
    <cellStyle name="Ugyldig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12</xdr:row>
      <xdr:rowOff>47625</xdr:rowOff>
    </xdr:from>
    <xdr:to>
      <xdr:col>4</xdr:col>
      <xdr:colOff>342900</xdr:colOff>
      <xdr:row>28</xdr:row>
      <xdr:rowOff>57150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85725" y="5029200"/>
          <a:ext cx="6315075" cy="2600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Beregning af omkostningsindekset: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Basis 100: 1. Januar 2008.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Eksempel: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(Procentvis ændring i lønindeks x 60 pct.)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(Procentvis ændring i dieselindeks x 17 pct.)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(Procentvis ændring i forbrugerindeks x 10 pct.)  etc.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 vil sige, at den procentvise ændring i hvert indeks (fra periode til periode) ganges med vægtningen (i pct.)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Forskydning: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Omkostningsindekset for en bestemt måned beregnes på basis af delindekset for 2 måneder tidligere, pånær lønindekset, der er forskudt 6 måneder. Dette betyder eksempelvis, at omkostningsindekset for april baseres på delindeks fra februar - dog lønindeks fra K4 året før.</a:t>
          </a:r>
        </a:p>
      </xdr:txBody>
    </xdr:sp>
    <xdr:clientData/>
  </xdr:twoCellAnchor>
  <xdr:twoCellAnchor>
    <xdr:from>
      <xdr:col>0</xdr:col>
      <xdr:colOff>85725</xdr:colOff>
      <xdr:row>39</xdr:row>
      <xdr:rowOff>104775</xdr:rowOff>
    </xdr:from>
    <xdr:to>
      <xdr:col>4</xdr:col>
      <xdr:colOff>323850</xdr:colOff>
      <xdr:row>50</xdr:row>
      <xdr:rowOff>76200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5725" y="9458325"/>
          <a:ext cx="6296025" cy="1752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Reelle vægte: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Udgangspunktet er de basisvægte, der er fastlagt for fordelingen af omkostninger ved busdrift:Indeks: Celle C2 til Celle G2.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Basis er 1. januar 2008.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"Reelle vægte" er et udtryk for, hvordan udviklingen i de fem delindeks (Løn, diesel, Forbrug, Maskiner og Rente) giver forskydninger i, hvor stor en andel, den enkelte omkostning udgør af de samlede omkostninger ved busdrift.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 reele vægt for det enkelte delindeks beregnes således: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Værdi af delindeks i dag / Værdi af delindeks i basis x Basisvægt / Værdi af samlet indeks i dag x 100
</a:t>
          </a:r>
        </a:p>
      </xdr:txBody>
    </xdr:sp>
    <xdr:clientData/>
  </xdr:twoCellAnchor>
  <xdr:twoCellAnchor>
    <xdr:from>
      <xdr:col>0</xdr:col>
      <xdr:colOff>76200</xdr:colOff>
      <xdr:row>28</xdr:row>
      <xdr:rowOff>104775</xdr:rowOff>
    </xdr:from>
    <xdr:to>
      <xdr:col>4</xdr:col>
      <xdr:colOff>323850</xdr:colOff>
      <xdr:row>39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76200" y="7677150"/>
          <a:ext cx="6305550" cy="174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Skøn: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fremadrettede skøn beregnes på baggrund af den historiske udvikling. Dog fastlåses brændstofindeks og rente til senest kendte værdi.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Løn: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Gennemsnitlig ændring fra forrige kalenderår til sidste kalenderår divideres med 4 for at få en ca. kvartalsmæssig udviklingsfaktor. Denne anvedes herefter på sidstkendte indeks til fremskrivning.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Maskin- samt forbrugsindeks: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Gennemsnitlig ændring fra forrige kalenderår til sidste kalenderår divideres med 12 for tilnærmelsesvis at få en månedlig udviklingsfaktor. Denne anvedes herefter på sidstkendte indeks til fremskrivning.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6" name="Tabel6" displayName="Tabel6" ref="A3:J243" comment="" totalsRowShown="0">
  <autoFilter ref="A3:J243"/>
  <tableColumns count="10">
    <tableColumn id="1" name="År"/>
    <tableColumn id="2" name="Måned"/>
    <tableColumn id="3" name="Løn"/>
    <tableColumn id="4" name="Diesel"/>
    <tableColumn id="5" name="Forbrug"/>
    <tableColumn id="6" name="Maskiner"/>
    <tableColumn id="7" name="Rente"/>
    <tableColumn id="8" name="Indeks"/>
    <tableColumn id="9" name="∆ Måned"/>
    <tableColumn id="10" name="Note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7" name="Tabel7" displayName="Tabel7" ref="A3:H243" comment="" totalsRowShown="0">
  <autoFilter ref="A3:H243"/>
  <tableColumns count="8">
    <tableColumn id="1" name="År"/>
    <tableColumn id="2" name="Måned"/>
    <tableColumn id="3" name="Løn"/>
    <tableColumn id="4" name="Diesel"/>
    <tableColumn id="5" name="Forbrug"/>
    <tableColumn id="6" name="Maskiner"/>
    <tableColumn id="7" name="Rente"/>
    <tableColumn id="8" name="I alt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20" name="Tabel20" displayName="Tabel20" ref="A2:H242" comment="" totalsRowShown="0">
  <autoFilter ref="A2:H242"/>
  <tableColumns count="8">
    <tableColumn id="1" name="År"/>
    <tableColumn id="2" name="Måned"/>
    <tableColumn id="3" name="Indeks"/>
    <tableColumn id="4" name="∆ Måned"/>
    <tableColumn id="5" name="∆ Kvartal"/>
    <tableColumn id="9" name="∆ Halvår"/>
    <tableColumn id="6" name="∆ År"/>
    <tableColumn id="7" name="Kolonne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49"/>
  <sheetViews>
    <sheetView tabSelected="1" workbookViewId="0" topLeftCell="A205">
      <selection activeCell="F238" sqref="F238"/>
    </sheetView>
  </sheetViews>
  <sheetFormatPr defaultColWidth="9.140625" defaultRowHeight="12.75"/>
  <cols>
    <col min="1" max="1" width="10.28125" style="0" customWidth="1"/>
    <col min="2" max="2" width="9.57421875" style="0" customWidth="1"/>
    <col min="3" max="3" width="8.57421875" style="0" customWidth="1"/>
    <col min="4" max="4" width="9.57421875" style="0" bestFit="1" customWidth="1"/>
    <col min="5" max="5" width="10.140625" style="0" customWidth="1"/>
    <col min="6" max="6" width="11.140625" style="0" customWidth="1"/>
    <col min="7" max="7" width="8.140625" style="0" customWidth="1"/>
    <col min="8" max="8" width="10.421875" style="48" customWidth="1"/>
    <col min="9" max="9" width="10.8515625" style="0" hidden="1" customWidth="1"/>
    <col min="10" max="10" width="19.57421875" style="0" customWidth="1"/>
  </cols>
  <sheetData>
    <row r="1" spans="1:10" ht="20.25">
      <c r="A1" s="31"/>
      <c r="C1" s="2"/>
      <c r="I1" s="49" t="s">
        <v>32</v>
      </c>
      <c r="J1" s="100" t="s">
        <v>32</v>
      </c>
    </row>
    <row r="2" spans="1:7" ht="12.75">
      <c r="A2" t="s">
        <v>69</v>
      </c>
      <c r="B2" s="2" t="s">
        <v>28</v>
      </c>
      <c r="C2" s="3">
        <v>0.6</v>
      </c>
      <c r="D2" s="3">
        <v>0.17</v>
      </c>
      <c r="E2" s="3">
        <v>0.08</v>
      </c>
      <c r="F2" s="3">
        <v>0.09</v>
      </c>
      <c r="G2" s="3">
        <v>0.06</v>
      </c>
    </row>
    <row r="3" spans="1:10" ht="16.5" thickBot="1">
      <c r="A3" s="183" t="s">
        <v>1</v>
      </c>
      <c r="B3" s="183" t="s">
        <v>2</v>
      </c>
      <c r="C3" s="183" t="s">
        <v>3</v>
      </c>
      <c r="D3" s="183" t="s">
        <v>4</v>
      </c>
      <c r="E3" s="183" t="s">
        <v>5</v>
      </c>
      <c r="F3" s="183" t="s">
        <v>6</v>
      </c>
      <c r="G3" s="183" t="s">
        <v>7</v>
      </c>
      <c r="H3" s="184" t="s">
        <v>0</v>
      </c>
      <c r="I3" s="2" t="s">
        <v>20</v>
      </c>
      <c r="J3" s="185" t="s">
        <v>47</v>
      </c>
    </row>
    <row r="4" spans="1:9" ht="15" hidden="1">
      <c r="A4" s="8">
        <v>2005</v>
      </c>
      <c r="B4" s="13" t="s">
        <v>8</v>
      </c>
      <c r="C4" s="120" t="s">
        <v>19</v>
      </c>
      <c r="D4" s="115" t="s">
        <v>19</v>
      </c>
      <c r="E4" s="115" t="s">
        <v>19</v>
      </c>
      <c r="F4" s="115" t="s">
        <v>19</v>
      </c>
      <c r="G4" s="115" t="s">
        <v>19</v>
      </c>
      <c r="H4" s="94" t="s">
        <v>19</v>
      </c>
      <c r="I4" t="s">
        <v>19</v>
      </c>
    </row>
    <row r="5" spans="1:9" ht="15" hidden="1">
      <c r="A5" s="12">
        <f>A4</f>
        <v>2005</v>
      </c>
      <c r="B5" s="13" t="s">
        <v>9</v>
      </c>
      <c r="C5" s="120" t="s">
        <v>19</v>
      </c>
      <c r="D5" s="115" t="s">
        <v>19</v>
      </c>
      <c r="E5" s="115" t="s">
        <v>19</v>
      </c>
      <c r="F5" s="115" t="s">
        <v>19</v>
      </c>
      <c r="G5" s="115" t="s">
        <v>19</v>
      </c>
      <c r="H5" s="94" t="s">
        <v>19</v>
      </c>
      <c r="I5" s="4" t="e">
        <f aca="true" t="shared" si="0" ref="I5:I36">(H5-H4)/H4*100</f>
        <v>#VALUE!</v>
      </c>
    </row>
    <row r="6" spans="1:9" ht="15" hidden="1">
      <c r="A6" s="16">
        <f aca="true" t="shared" si="1" ref="A6:A15">A5</f>
        <v>2005</v>
      </c>
      <c r="B6" s="17" t="s">
        <v>10</v>
      </c>
      <c r="C6" s="124" t="s">
        <v>19</v>
      </c>
      <c r="D6" s="125" t="s">
        <v>19</v>
      </c>
      <c r="E6" s="125" t="s">
        <v>19</v>
      </c>
      <c r="F6" s="124" t="s">
        <v>19</v>
      </c>
      <c r="G6" s="125" t="s">
        <v>19</v>
      </c>
      <c r="H6" s="95" t="s">
        <v>19</v>
      </c>
      <c r="I6" s="4" t="e">
        <f t="shared" si="0"/>
        <v>#VALUE!</v>
      </c>
    </row>
    <row r="7" spans="1:9" ht="15" hidden="1">
      <c r="A7" s="21">
        <f t="shared" si="1"/>
        <v>2005</v>
      </c>
      <c r="B7" s="22" t="s">
        <v>11</v>
      </c>
      <c r="C7" s="126" t="s">
        <v>19</v>
      </c>
      <c r="D7" s="127" t="s">
        <v>19</v>
      </c>
      <c r="E7" s="127" t="s">
        <v>19</v>
      </c>
      <c r="F7" s="127" t="s">
        <v>19</v>
      </c>
      <c r="G7" s="127" t="s">
        <v>19</v>
      </c>
      <c r="H7" s="96" t="s">
        <v>19</v>
      </c>
      <c r="I7" s="4" t="e">
        <f t="shared" si="0"/>
        <v>#VALUE!</v>
      </c>
    </row>
    <row r="8" spans="1:9" ht="15" hidden="1">
      <c r="A8" s="12">
        <f t="shared" si="1"/>
        <v>2005</v>
      </c>
      <c r="B8" s="13" t="s">
        <v>12</v>
      </c>
      <c r="C8" s="120" t="s">
        <v>19</v>
      </c>
      <c r="D8" s="115" t="s">
        <v>19</v>
      </c>
      <c r="E8" s="115" t="s">
        <v>19</v>
      </c>
      <c r="F8" s="115" t="s">
        <v>19</v>
      </c>
      <c r="G8" s="115" t="s">
        <v>19</v>
      </c>
      <c r="H8" s="94" t="s">
        <v>19</v>
      </c>
      <c r="I8" s="4" t="e">
        <f t="shared" si="0"/>
        <v>#VALUE!</v>
      </c>
    </row>
    <row r="9" spans="1:9" ht="15" hidden="1">
      <c r="A9" s="16">
        <f t="shared" si="1"/>
        <v>2005</v>
      </c>
      <c r="B9" s="17" t="s">
        <v>13</v>
      </c>
      <c r="C9" s="124" t="s">
        <v>19</v>
      </c>
      <c r="D9" s="125" t="s">
        <v>19</v>
      </c>
      <c r="E9" s="125" t="s">
        <v>19</v>
      </c>
      <c r="F9" s="125" t="s">
        <v>19</v>
      </c>
      <c r="G9" s="128" t="s">
        <v>19</v>
      </c>
      <c r="H9" s="95" t="s">
        <v>19</v>
      </c>
      <c r="I9" s="4" t="e">
        <f t="shared" si="0"/>
        <v>#VALUE!</v>
      </c>
    </row>
    <row r="10" spans="1:9" ht="15" hidden="1">
      <c r="A10" s="129">
        <f t="shared" si="1"/>
        <v>2005</v>
      </c>
      <c r="B10" s="26" t="s">
        <v>31</v>
      </c>
      <c r="C10" s="23">
        <v>100</v>
      </c>
      <c r="D10" s="23">
        <v>117.3</v>
      </c>
      <c r="E10" s="22">
        <v>110.3</v>
      </c>
      <c r="F10" s="23">
        <v>99.4</v>
      </c>
      <c r="G10" s="27">
        <v>3.36</v>
      </c>
      <c r="H10" s="96">
        <f aca="true" t="shared" si="2" ref="H10:H35">100+((C10-$C$40)/$C$40*100*$C$2)+((D10-$D$40)/$D$40*100*$D$2)+((E10-$E$40)/$E$40*100*$E$2)+((F10-$F$40)/$F$40*100*$F$2)+((G10-$G$40)/$G$40*100*$G$2)</f>
        <v>90.29232871928535</v>
      </c>
      <c r="I10" s="4" t="e">
        <f t="shared" si="0"/>
        <v>#VALUE!</v>
      </c>
    </row>
    <row r="11" spans="1:9" ht="15" hidden="1">
      <c r="A11" s="12">
        <f t="shared" si="1"/>
        <v>2005</v>
      </c>
      <c r="B11" s="13" t="s">
        <v>14</v>
      </c>
      <c r="C11" s="14">
        <v>100</v>
      </c>
      <c r="D11" s="13">
        <v>122.9</v>
      </c>
      <c r="E11" s="13">
        <v>110.4</v>
      </c>
      <c r="F11" s="13">
        <v>99.8</v>
      </c>
      <c r="G11" s="13">
        <v>3.3</v>
      </c>
      <c r="H11" s="94">
        <f t="shared" si="2"/>
        <v>90.92752527499178</v>
      </c>
      <c r="I11" s="4">
        <f t="shared" si="0"/>
        <v>0.7034889505189588</v>
      </c>
    </row>
    <row r="12" spans="1:9" ht="15" hidden="1">
      <c r="A12" s="16">
        <f t="shared" si="1"/>
        <v>2005</v>
      </c>
      <c r="B12" s="17" t="s">
        <v>15</v>
      </c>
      <c r="C12" s="18">
        <v>100</v>
      </c>
      <c r="D12" s="17">
        <v>127</v>
      </c>
      <c r="E12" s="17">
        <v>110.3</v>
      </c>
      <c r="F12" s="18">
        <v>100</v>
      </c>
      <c r="G12" s="17">
        <v>3.29</v>
      </c>
      <c r="H12" s="95">
        <f t="shared" si="2"/>
        <v>91.41465307992169</v>
      </c>
      <c r="I12" s="4">
        <f t="shared" si="0"/>
        <v>0.5357319507560481</v>
      </c>
    </row>
    <row r="13" spans="1:9" ht="15" hidden="1">
      <c r="A13" s="21">
        <f t="shared" si="1"/>
        <v>2005</v>
      </c>
      <c r="B13" s="22" t="s">
        <v>16</v>
      </c>
      <c r="C13" s="23">
        <v>100.5</v>
      </c>
      <c r="D13" s="22">
        <v>126.5</v>
      </c>
      <c r="E13" s="22">
        <v>110.3</v>
      </c>
      <c r="F13" s="22">
        <v>100.1</v>
      </c>
      <c r="G13" s="22">
        <v>3.29</v>
      </c>
      <c r="H13" s="96">
        <f t="shared" si="2"/>
        <v>91.64064115937717</v>
      </c>
      <c r="I13" s="4">
        <f t="shared" si="0"/>
        <v>0.24721209548090717</v>
      </c>
    </row>
    <row r="14" spans="1:9" ht="15" hidden="1">
      <c r="A14" s="12">
        <f t="shared" si="1"/>
        <v>2005</v>
      </c>
      <c r="B14" s="13" t="s">
        <v>17</v>
      </c>
      <c r="C14" s="14">
        <v>100.5</v>
      </c>
      <c r="D14" s="13">
        <v>130.2</v>
      </c>
      <c r="E14" s="13">
        <v>111.2</v>
      </c>
      <c r="F14" s="14">
        <v>100</v>
      </c>
      <c r="G14" s="25">
        <v>3.34</v>
      </c>
      <c r="H14" s="94">
        <f t="shared" si="2"/>
        <v>92.1970792988954</v>
      </c>
      <c r="I14" s="4">
        <f t="shared" si="0"/>
        <v>0.6071958167015699</v>
      </c>
    </row>
    <row r="15" spans="1:9" ht="15.75" hidden="1" thickBot="1">
      <c r="A15" s="38">
        <f t="shared" si="1"/>
        <v>2005</v>
      </c>
      <c r="B15" s="39" t="s">
        <v>18</v>
      </c>
      <c r="C15" s="40">
        <v>100.5</v>
      </c>
      <c r="D15" s="39">
        <v>132.8</v>
      </c>
      <c r="E15" s="39">
        <v>111.1</v>
      </c>
      <c r="F15" s="39">
        <v>100.1</v>
      </c>
      <c r="G15" s="80">
        <v>3.72</v>
      </c>
      <c r="H15" s="97">
        <f t="shared" si="2"/>
        <v>92.98693291793309</v>
      </c>
      <c r="I15" s="4">
        <f t="shared" si="0"/>
        <v>0.8567013456869332</v>
      </c>
    </row>
    <row r="16" spans="1:9" ht="15" hidden="1">
      <c r="A16" s="8">
        <v>2006</v>
      </c>
      <c r="B16" s="13" t="s">
        <v>8</v>
      </c>
      <c r="C16" s="14">
        <v>101.3</v>
      </c>
      <c r="D16" s="13">
        <v>125.9</v>
      </c>
      <c r="E16" s="13">
        <v>110.8</v>
      </c>
      <c r="F16" s="14">
        <v>99.9</v>
      </c>
      <c r="G16" s="13">
        <v>3.8</v>
      </c>
      <c r="H16" s="94">
        <f t="shared" si="2"/>
        <v>92.66880541670587</v>
      </c>
      <c r="I16" s="4">
        <f t="shared" si="0"/>
        <v>-0.34212065205763015</v>
      </c>
    </row>
    <row r="17" spans="1:9" ht="15" hidden="1">
      <c r="A17" s="12">
        <f>A16</f>
        <v>2006</v>
      </c>
      <c r="B17" s="13" t="s">
        <v>9</v>
      </c>
      <c r="C17" s="14">
        <v>101.3</v>
      </c>
      <c r="D17" s="14">
        <v>125.1</v>
      </c>
      <c r="E17" s="13">
        <v>110.8</v>
      </c>
      <c r="F17" s="13">
        <v>99.4</v>
      </c>
      <c r="G17" s="13">
        <v>3.69</v>
      </c>
      <c r="H17" s="94">
        <f t="shared" si="2"/>
        <v>92.38885856631035</v>
      </c>
      <c r="I17" s="4">
        <f t="shared" si="0"/>
        <v>-0.30209394535375206</v>
      </c>
    </row>
    <row r="18" spans="1:9" ht="15" hidden="1">
      <c r="A18" s="16">
        <f aca="true" t="shared" si="3" ref="A18:A27">A17</f>
        <v>2006</v>
      </c>
      <c r="B18" s="17" t="s">
        <v>10</v>
      </c>
      <c r="C18" s="18">
        <v>101.3</v>
      </c>
      <c r="D18" s="17">
        <v>126.1</v>
      </c>
      <c r="E18" s="17">
        <v>110.4</v>
      </c>
      <c r="F18" s="18">
        <v>99.8</v>
      </c>
      <c r="G18" s="19">
        <v>3.71</v>
      </c>
      <c r="H18" s="95">
        <f t="shared" si="2"/>
        <v>92.5424329705833</v>
      </c>
      <c r="I18" s="4">
        <f t="shared" si="0"/>
        <v>0.16622610848983904</v>
      </c>
    </row>
    <row r="19" spans="1:9" ht="15" hidden="1">
      <c r="A19" s="21">
        <f t="shared" si="3"/>
        <v>2006</v>
      </c>
      <c r="B19" s="22" t="s">
        <v>11</v>
      </c>
      <c r="C19" s="23">
        <v>102.1</v>
      </c>
      <c r="D19" s="22">
        <v>126</v>
      </c>
      <c r="E19" s="22">
        <v>111.5</v>
      </c>
      <c r="F19" s="22">
        <v>99.4</v>
      </c>
      <c r="G19" s="22">
        <v>3.81</v>
      </c>
      <c r="H19" s="96">
        <f t="shared" si="2"/>
        <v>93.1374186184407</v>
      </c>
      <c r="I19" s="4">
        <f t="shared" si="0"/>
        <v>0.6429327917567595</v>
      </c>
    </row>
    <row r="20" spans="1:9" ht="15" hidden="1">
      <c r="A20" s="12">
        <f t="shared" si="3"/>
        <v>2006</v>
      </c>
      <c r="B20" s="13" t="s">
        <v>12</v>
      </c>
      <c r="C20" s="14">
        <v>102.1</v>
      </c>
      <c r="D20" s="13">
        <v>127.5</v>
      </c>
      <c r="E20" s="13">
        <v>111.9</v>
      </c>
      <c r="F20" s="14">
        <v>99.5</v>
      </c>
      <c r="G20" s="25">
        <v>4</v>
      </c>
      <c r="H20" s="94">
        <f t="shared" si="2"/>
        <v>93.59195818046624</v>
      </c>
      <c r="I20" s="4">
        <f t="shared" si="0"/>
        <v>0.4880310929462825</v>
      </c>
    </row>
    <row r="21" spans="1:9" ht="15" hidden="1">
      <c r="A21" s="16">
        <f t="shared" si="3"/>
        <v>2006</v>
      </c>
      <c r="B21" s="17" t="s">
        <v>13</v>
      </c>
      <c r="C21" s="18">
        <v>102.1</v>
      </c>
      <c r="D21" s="17">
        <v>128.9</v>
      </c>
      <c r="E21" s="17">
        <v>112.4</v>
      </c>
      <c r="F21" s="18">
        <v>99.4</v>
      </c>
      <c r="G21" s="17">
        <v>4.13</v>
      </c>
      <c r="H21" s="95">
        <f t="shared" si="2"/>
        <v>93.94751009928689</v>
      </c>
      <c r="I21" s="4">
        <f t="shared" si="0"/>
        <v>0.3798958005933246</v>
      </c>
    </row>
    <row r="22" spans="1:9" ht="15" hidden="1">
      <c r="A22" s="21">
        <f t="shared" si="3"/>
        <v>2006</v>
      </c>
      <c r="B22" s="26" t="s">
        <v>31</v>
      </c>
      <c r="C22" s="23">
        <v>102.9</v>
      </c>
      <c r="D22" s="22">
        <v>130.3</v>
      </c>
      <c r="E22" s="22">
        <v>112.5</v>
      </c>
      <c r="F22" s="23">
        <v>98.8</v>
      </c>
      <c r="G22" s="27">
        <v>4.1</v>
      </c>
      <c r="H22" s="96">
        <f t="shared" si="2"/>
        <v>94.46974350375976</v>
      </c>
      <c r="I22" s="4">
        <f t="shared" si="0"/>
        <v>0.5558778555397129</v>
      </c>
    </row>
    <row r="23" spans="1:9" ht="15" hidden="1">
      <c r="A23" s="12">
        <f t="shared" si="3"/>
        <v>2006</v>
      </c>
      <c r="B23" s="13" t="s">
        <v>14</v>
      </c>
      <c r="C23" s="14">
        <v>102.9</v>
      </c>
      <c r="D23" s="13">
        <v>130.3</v>
      </c>
      <c r="E23" s="13">
        <v>112.8</v>
      </c>
      <c r="F23" s="14">
        <v>98</v>
      </c>
      <c r="G23" s="13">
        <v>4.21</v>
      </c>
      <c r="H23" s="94">
        <f t="shared" si="2"/>
        <v>94.55473714396005</v>
      </c>
      <c r="I23" s="4">
        <f t="shared" si="0"/>
        <v>0.08996916583870337</v>
      </c>
    </row>
    <row r="24" spans="1:9" ht="15" hidden="1">
      <c r="A24" s="16">
        <f t="shared" si="3"/>
        <v>2006</v>
      </c>
      <c r="B24" s="17" t="s">
        <v>15</v>
      </c>
      <c r="C24" s="18">
        <v>102.9</v>
      </c>
      <c r="D24" s="17">
        <v>131.2</v>
      </c>
      <c r="E24" s="17">
        <v>112.5</v>
      </c>
      <c r="F24" s="18">
        <v>98.3</v>
      </c>
      <c r="G24" s="19">
        <v>4.16</v>
      </c>
      <c r="H24" s="95">
        <f t="shared" si="2"/>
        <v>94.60601408373262</v>
      </c>
      <c r="I24" s="4">
        <f t="shared" si="0"/>
        <v>0.05422990039567666</v>
      </c>
    </row>
    <row r="25" spans="1:9" ht="15" hidden="1">
      <c r="A25" s="21">
        <f t="shared" si="3"/>
        <v>2006</v>
      </c>
      <c r="B25" s="22" t="s">
        <v>16</v>
      </c>
      <c r="C25" s="23">
        <v>103.7</v>
      </c>
      <c r="D25" s="22">
        <v>133.9</v>
      </c>
      <c r="E25" s="22">
        <v>112.5</v>
      </c>
      <c r="F25" s="23">
        <v>98.2</v>
      </c>
      <c r="G25" s="22">
        <v>4.15</v>
      </c>
      <c r="H25" s="96">
        <f t="shared" si="2"/>
        <v>95.34758419402858</v>
      </c>
      <c r="I25" s="4">
        <f t="shared" si="0"/>
        <v>0.7838509184412192</v>
      </c>
    </row>
    <row r="26" spans="1:9" ht="15" hidden="1">
      <c r="A26" s="12">
        <f t="shared" si="3"/>
        <v>2006</v>
      </c>
      <c r="B26" s="13" t="s">
        <v>17</v>
      </c>
      <c r="C26" s="14">
        <v>103.7</v>
      </c>
      <c r="D26" s="13">
        <v>128.4</v>
      </c>
      <c r="E26" s="13">
        <v>112.9</v>
      </c>
      <c r="F26" s="14">
        <v>97.8</v>
      </c>
      <c r="G26" s="25">
        <v>4.14</v>
      </c>
      <c r="H26" s="94">
        <f t="shared" si="2"/>
        <v>94.67087412039355</v>
      </c>
      <c r="I26" s="4">
        <f t="shared" si="0"/>
        <v>-0.7097296479562161</v>
      </c>
    </row>
    <row r="27" spans="1:9" ht="15.75" hidden="1" thickBot="1">
      <c r="A27" s="38">
        <f t="shared" si="3"/>
        <v>2006</v>
      </c>
      <c r="B27" s="39" t="s">
        <v>18</v>
      </c>
      <c r="C27" s="40">
        <v>103.7</v>
      </c>
      <c r="D27" s="39">
        <v>124.1</v>
      </c>
      <c r="E27" s="39">
        <v>112.8</v>
      </c>
      <c r="F27" s="40">
        <v>97.5</v>
      </c>
      <c r="G27" s="39">
        <v>4.35</v>
      </c>
      <c r="H27" s="97">
        <f t="shared" si="2"/>
        <v>94.38838750978866</v>
      </c>
      <c r="I27" s="4">
        <f t="shared" si="0"/>
        <v>-0.29838808739174794</v>
      </c>
    </row>
    <row r="28" spans="1:9" ht="15" hidden="1">
      <c r="A28" s="8">
        <v>2007</v>
      </c>
      <c r="B28" s="13" t="s">
        <v>8</v>
      </c>
      <c r="C28" s="14">
        <v>104.4</v>
      </c>
      <c r="D28" s="13">
        <v>123.7</v>
      </c>
      <c r="E28" s="13">
        <v>112.7</v>
      </c>
      <c r="F28" s="14">
        <v>97.4</v>
      </c>
      <c r="G28" s="25">
        <v>4.3</v>
      </c>
      <c r="H28" s="94">
        <f t="shared" si="2"/>
        <v>94.6484205099173</v>
      </c>
      <c r="I28" s="4">
        <f t="shared" si="0"/>
        <v>0.27549257592908527</v>
      </c>
    </row>
    <row r="29" spans="1:9" ht="15" hidden="1">
      <c r="A29" s="12">
        <f>A28</f>
        <v>2007</v>
      </c>
      <c r="B29" s="13" t="s">
        <v>9</v>
      </c>
      <c r="C29" s="14">
        <v>104.4</v>
      </c>
      <c r="D29" s="13">
        <v>123.1</v>
      </c>
      <c r="E29" s="13">
        <v>112.8</v>
      </c>
      <c r="F29" s="14">
        <v>97.6</v>
      </c>
      <c r="G29" s="13">
        <v>4.37</v>
      </c>
      <c r="H29" s="94">
        <f t="shared" si="2"/>
        <v>94.6905062499938</v>
      </c>
      <c r="I29" s="4">
        <f t="shared" si="0"/>
        <v>0.04446533798426336</v>
      </c>
    </row>
    <row r="30" spans="1:9" ht="15" hidden="1">
      <c r="A30" s="16">
        <f aca="true" t="shared" si="4" ref="A30:A39">A29</f>
        <v>2007</v>
      </c>
      <c r="B30" s="17" t="s">
        <v>10</v>
      </c>
      <c r="C30" s="18">
        <v>104.4</v>
      </c>
      <c r="D30" s="17">
        <v>118.5</v>
      </c>
      <c r="E30" s="17">
        <v>112.4</v>
      </c>
      <c r="F30" s="18">
        <v>97.9</v>
      </c>
      <c r="G30" s="19">
        <v>4.46</v>
      </c>
      <c r="H30" s="95">
        <f>100+((C30-$C$40)/$C$40*100*$C$2)+((D30-$D$40)/$D$40*100*$D$2)+((E30-$E$40)/$E$40*100*$E$2)+((F30-$F$40)/$F$40*100*$F$2)+((G30-$G$40)/$G$40*100*$G$2)</f>
        <v>94.25619550700888</v>
      </c>
      <c r="I30" s="4">
        <f t="shared" si="0"/>
        <v>-0.45866345020723576</v>
      </c>
    </row>
    <row r="31" spans="1:9" ht="15" hidden="1">
      <c r="A31" s="21">
        <f t="shared" si="4"/>
        <v>2007</v>
      </c>
      <c r="B31" s="22" t="s">
        <v>11</v>
      </c>
      <c r="C31" s="23">
        <v>105.3</v>
      </c>
      <c r="D31" s="22">
        <v>122.2</v>
      </c>
      <c r="E31" s="22">
        <v>113.6</v>
      </c>
      <c r="F31" s="23">
        <v>98.3</v>
      </c>
      <c r="G31" s="22">
        <v>4.44</v>
      </c>
      <c r="H31" s="96">
        <f t="shared" si="2"/>
        <v>95.28894409718488</v>
      </c>
      <c r="I31" s="4">
        <f t="shared" si="0"/>
        <v>1.095682447844188</v>
      </c>
    </row>
    <row r="32" spans="1:9" ht="15" hidden="1">
      <c r="A32" s="12">
        <f t="shared" si="4"/>
        <v>2007</v>
      </c>
      <c r="B32" s="13" t="s">
        <v>12</v>
      </c>
      <c r="C32" s="14">
        <v>105.3</v>
      </c>
      <c r="D32" s="13">
        <v>123.2</v>
      </c>
      <c r="E32" s="13">
        <v>114.1</v>
      </c>
      <c r="F32" s="14">
        <v>98</v>
      </c>
      <c r="G32" s="25">
        <v>4.48</v>
      </c>
      <c r="H32" s="94">
        <f t="shared" si="2"/>
        <v>95.46513183110342</v>
      </c>
      <c r="I32" s="4">
        <f t="shared" si="0"/>
        <v>0.1848984009507395</v>
      </c>
    </row>
    <row r="33" spans="1:9" ht="15" hidden="1">
      <c r="A33" s="16">
        <f t="shared" si="4"/>
        <v>2007</v>
      </c>
      <c r="B33" s="17" t="s">
        <v>13</v>
      </c>
      <c r="C33" s="18">
        <v>105.3</v>
      </c>
      <c r="D33" s="17">
        <v>125.1</v>
      </c>
      <c r="E33" s="17">
        <v>114.3</v>
      </c>
      <c r="F33" s="18">
        <v>97.8</v>
      </c>
      <c r="G33" s="17">
        <v>4.59</v>
      </c>
      <c r="H33" s="95">
        <f t="shared" si="2"/>
        <v>95.82500231090762</v>
      </c>
      <c r="I33" s="4">
        <f t="shared" si="0"/>
        <v>0.3769653620139365</v>
      </c>
    </row>
    <row r="34" spans="1:9" ht="15" hidden="1">
      <c r="A34" s="21">
        <f t="shared" si="4"/>
        <v>2007</v>
      </c>
      <c r="B34" s="26" t="s">
        <v>31</v>
      </c>
      <c r="C34" s="23">
        <v>106.3</v>
      </c>
      <c r="D34" s="22">
        <v>124.8</v>
      </c>
      <c r="E34" s="22">
        <v>114.5</v>
      </c>
      <c r="F34" s="23">
        <v>97.6</v>
      </c>
      <c r="G34" s="27">
        <v>4.77</v>
      </c>
      <c r="H34" s="96">
        <f t="shared" si="2"/>
        <v>96.5635045311178</v>
      </c>
      <c r="I34" s="4">
        <f t="shared" si="0"/>
        <v>0.7706780092883095</v>
      </c>
    </row>
    <row r="35" spans="1:9" ht="15" hidden="1">
      <c r="A35" s="12">
        <f t="shared" si="4"/>
        <v>2007</v>
      </c>
      <c r="B35" s="13" t="s">
        <v>14</v>
      </c>
      <c r="C35" s="14">
        <v>106.3</v>
      </c>
      <c r="D35" s="14">
        <v>127.6</v>
      </c>
      <c r="E35" s="13">
        <v>114.4</v>
      </c>
      <c r="F35" s="14">
        <v>97.6</v>
      </c>
      <c r="G35" s="13">
        <v>4.91</v>
      </c>
      <c r="H35" s="94">
        <f t="shared" si="2"/>
        <v>97.06601208645553</v>
      </c>
      <c r="I35" s="4">
        <f t="shared" si="0"/>
        <v>0.5203907602336398</v>
      </c>
    </row>
    <row r="36" spans="1:9" ht="15" hidden="1">
      <c r="A36" s="16">
        <f t="shared" si="4"/>
        <v>2007</v>
      </c>
      <c r="B36" s="17" t="s">
        <v>15</v>
      </c>
      <c r="C36" s="18">
        <v>106.3</v>
      </c>
      <c r="D36" s="17">
        <v>128.8</v>
      </c>
      <c r="E36" s="17">
        <v>113.9</v>
      </c>
      <c r="F36" s="18">
        <v>97.6</v>
      </c>
      <c r="G36" s="19">
        <v>4.81</v>
      </c>
      <c r="H36" s="95">
        <f aca="true" t="shared" si="5" ref="H36:H75">100+((C36-$C$40)/$C$40*100*$C$2)+((D36-$D$40)/$D$40*100*$D$2)+((E36-$E$40)/$E$40*100*$E$2)+((F36-$F$40)/$F$40*100*$F$2)+((G36-$G$40)/$G$40*100*$G$2)</f>
        <v>97.04845103115862</v>
      </c>
      <c r="I36" s="4">
        <f t="shared" si="0"/>
        <v>-0.018091868533001612</v>
      </c>
    </row>
    <row r="37" spans="1:9" ht="15" hidden="1">
      <c r="A37" s="21">
        <f t="shared" si="4"/>
        <v>2007</v>
      </c>
      <c r="B37" s="22" t="s">
        <v>16</v>
      </c>
      <c r="C37" s="23">
        <v>107.5</v>
      </c>
      <c r="D37" s="22">
        <v>128</v>
      </c>
      <c r="E37" s="22">
        <v>113.7</v>
      </c>
      <c r="F37" s="23">
        <v>97.4</v>
      </c>
      <c r="G37" s="22">
        <v>4.82</v>
      </c>
      <c r="H37" s="96">
        <f t="shared" si="5"/>
        <v>97.59638457372101</v>
      </c>
      <c r="I37" s="4">
        <f aca="true" t="shared" si="6" ref="I37:I63">(H37-H36)/H36*100</f>
        <v>0.5645979268504442</v>
      </c>
    </row>
    <row r="38" spans="1:9" ht="15" hidden="1">
      <c r="A38" s="12">
        <f t="shared" si="4"/>
        <v>2007</v>
      </c>
      <c r="B38" s="13" t="s">
        <v>17</v>
      </c>
      <c r="C38" s="14">
        <v>107.5</v>
      </c>
      <c r="D38" s="13">
        <v>130.7</v>
      </c>
      <c r="E38" s="13">
        <v>114.3</v>
      </c>
      <c r="F38" s="14">
        <v>97.4</v>
      </c>
      <c r="G38" s="25">
        <v>4.84</v>
      </c>
      <c r="H38" s="94">
        <f t="shared" si="5"/>
        <v>97.98452881941242</v>
      </c>
      <c r="I38" s="4">
        <f t="shared" si="6"/>
        <v>0.3977035085743532</v>
      </c>
    </row>
    <row r="39" spans="1:9" ht="15.75" hidden="1" thickBot="1">
      <c r="A39" s="38">
        <f t="shared" si="4"/>
        <v>2007</v>
      </c>
      <c r="B39" s="39" t="s">
        <v>18</v>
      </c>
      <c r="C39" s="40">
        <v>107.5</v>
      </c>
      <c r="D39" s="39">
        <v>131.3</v>
      </c>
      <c r="E39" s="39">
        <v>114.7</v>
      </c>
      <c r="F39" s="40">
        <v>97.3</v>
      </c>
      <c r="G39" s="39">
        <v>4.85</v>
      </c>
      <c r="H39" s="97">
        <f t="shared" si="5"/>
        <v>98.08697283984218</v>
      </c>
      <c r="I39" s="4">
        <f t="shared" si="6"/>
        <v>0.10455122014064502</v>
      </c>
    </row>
    <row r="40" spans="1:10" s="2" customFormat="1" ht="15.75" hidden="1">
      <c r="A40" s="8">
        <v>2008</v>
      </c>
      <c r="B40" s="8" t="s">
        <v>8</v>
      </c>
      <c r="C40" s="9">
        <v>108.6</v>
      </c>
      <c r="D40" s="9">
        <v>142.8</v>
      </c>
      <c r="E40" s="9">
        <v>115.5</v>
      </c>
      <c r="F40" s="9">
        <v>97.1</v>
      </c>
      <c r="G40" s="10">
        <v>4.77</v>
      </c>
      <c r="H40" s="50">
        <f t="shared" si="5"/>
        <v>100</v>
      </c>
      <c r="I40" s="11">
        <f t="shared" si="6"/>
        <v>1.9503376490998887</v>
      </c>
      <c r="J40" s="42"/>
    </row>
    <row r="41" spans="1:10" ht="15" hidden="1">
      <c r="A41" s="12">
        <f>A40</f>
        <v>2008</v>
      </c>
      <c r="B41" s="13" t="s">
        <v>9</v>
      </c>
      <c r="C41" s="14">
        <v>108.6</v>
      </c>
      <c r="D41" s="14">
        <v>136.3</v>
      </c>
      <c r="E41" s="14">
        <v>115.4</v>
      </c>
      <c r="F41" s="14">
        <v>96.7</v>
      </c>
      <c r="G41" s="25">
        <v>4.93</v>
      </c>
      <c r="H41" s="51">
        <f t="shared" si="5"/>
        <v>99.38344675067273</v>
      </c>
      <c r="I41" s="15">
        <f t="shared" si="6"/>
        <v>-0.6165532493272678</v>
      </c>
      <c r="J41" s="43"/>
    </row>
    <row r="42" spans="1:10" ht="15.75" hidden="1">
      <c r="A42" s="16">
        <f aca="true" t="shared" si="7" ref="A42:A51">A41</f>
        <v>2008</v>
      </c>
      <c r="B42" s="17" t="s">
        <v>10</v>
      </c>
      <c r="C42" s="18">
        <v>108.6</v>
      </c>
      <c r="D42" s="18">
        <v>140.2</v>
      </c>
      <c r="E42" s="18">
        <v>115.7</v>
      </c>
      <c r="F42" s="18">
        <v>97.6</v>
      </c>
      <c r="G42" s="19">
        <v>4.59</v>
      </c>
      <c r="H42" s="52">
        <f t="shared" si="5"/>
        <v>99.52425788527258</v>
      </c>
      <c r="I42" s="20">
        <f t="shared" si="6"/>
        <v>0.14168469619805207</v>
      </c>
      <c r="J42" s="62"/>
    </row>
    <row r="43" spans="1:9" ht="15" hidden="1">
      <c r="A43" s="21">
        <f t="shared" si="7"/>
        <v>2008</v>
      </c>
      <c r="B43" s="22" t="s">
        <v>11</v>
      </c>
      <c r="C43" s="23">
        <v>109.9</v>
      </c>
      <c r="D43" s="23">
        <v>140.9</v>
      </c>
      <c r="E43" s="23">
        <v>117.1</v>
      </c>
      <c r="F43" s="23">
        <v>97.3</v>
      </c>
      <c r="G43" s="27">
        <v>4.55</v>
      </c>
      <c r="H43" s="53">
        <f t="shared" si="5"/>
        <v>100.34467210919578</v>
      </c>
      <c r="I43" s="24">
        <f t="shared" si="6"/>
        <v>0.8243359371430307</v>
      </c>
    </row>
    <row r="44" spans="1:9" ht="15" hidden="1">
      <c r="A44" s="12">
        <f t="shared" si="7"/>
        <v>2008</v>
      </c>
      <c r="B44" s="13" t="s">
        <v>12</v>
      </c>
      <c r="C44" s="14">
        <v>109.9</v>
      </c>
      <c r="D44" s="14">
        <v>149.4</v>
      </c>
      <c r="E44" s="14">
        <v>117.6</v>
      </c>
      <c r="F44" s="14">
        <v>97.3</v>
      </c>
      <c r="G44" s="25">
        <v>4.72</v>
      </c>
      <c r="H44" s="51">
        <f t="shared" si="5"/>
        <v>101.60504538372001</v>
      </c>
      <c r="I44" s="15">
        <f t="shared" si="6"/>
        <v>1.2560440410355618</v>
      </c>
    </row>
    <row r="45" spans="1:10" ht="15" hidden="1">
      <c r="A45" s="16">
        <f t="shared" si="7"/>
        <v>2008</v>
      </c>
      <c r="B45" s="17" t="s">
        <v>13</v>
      </c>
      <c r="C45" s="18">
        <v>109.9</v>
      </c>
      <c r="D45" s="18">
        <v>150.8</v>
      </c>
      <c r="E45" s="18">
        <v>118</v>
      </c>
      <c r="F45" s="18">
        <v>97.1</v>
      </c>
      <c r="G45" s="19">
        <v>4.94</v>
      </c>
      <c r="H45" s="52">
        <f t="shared" si="5"/>
        <v>102.05760964772745</v>
      </c>
      <c r="I45" s="20">
        <f t="shared" si="6"/>
        <v>0.44541514872444393</v>
      </c>
      <c r="J45" s="35"/>
    </row>
    <row r="46" spans="1:10" ht="15" hidden="1">
      <c r="A46" s="21">
        <f t="shared" si="7"/>
        <v>2008</v>
      </c>
      <c r="B46" s="26" t="s">
        <v>31</v>
      </c>
      <c r="C46" s="28">
        <v>111</v>
      </c>
      <c r="D46" s="23">
        <v>157.7</v>
      </c>
      <c r="E46" s="23">
        <v>118.4</v>
      </c>
      <c r="F46" s="23">
        <v>97</v>
      </c>
      <c r="G46" s="27">
        <v>5.22</v>
      </c>
      <c r="H46" s="53">
        <f t="shared" si="5"/>
        <v>103.85741111629646</v>
      </c>
      <c r="I46" s="24">
        <f t="shared" si="6"/>
        <v>1.7635152094796218</v>
      </c>
      <c r="J46" s="37"/>
    </row>
    <row r="47" spans="1:10" ht="15.75" hidden="1">
      <c r="A47" s="12">
        <f t="shared" si="7"/>
        <v>2008</v>
      </c>
      <c r="B47" s="13" t="s">
        <v>14</v>
      </c>
      <c r="C47" s="14">
        <v>111</v>
      </c>
      <c r="D47" s="14">
        <v>165.5</v>
      </c>
      <c r="E47" s="14">
        <v>118.8</v>
      </c>
      <c r="F47" s="14">
        <v>97.2</v>
      </c>
      <c r="G47" s="25">
        <v>5.48</v>
      </c>
      <c r="H47" s="51">
        <f t="shared" si="5"/>
        <v>105.15926978784404</v>
      </c>
      <c r="I47" s="15">
        <f t="shared" si="6"/>
        <v>1.2535057994944576</v>
      </c>
      <c r="J47" s="36"/>
    </row>
    <row r="48" spans="1:9" ht="15" hidden="1">
      <c r="A48" s="16">
        <f t="shared" si="7"/>
        <v>2008</v>
      </c>
      <c r="B48" s="17" t="s">
        <v>15</v>
      </c>
      <c r="C48" s="18">
        <v>111</v>
      </c>
      <c r="D48" s="18">
        <v>166.2</v>
      </c>
      <c r="E48" s="18">
        <v>118.4</v>
      </c>
      <c r="F48" s="18">
        <v>97.6</v>
      </c>
      <c r="G48" s="19">
        <v>5.36</v>
      </c>
      <c r="H48" s="52">
        <f t="shared" si="5"/>
        <v>105.1010292774719</v>
      </c>
      <c r="I48" s="20">
        <f t="shared" si="6"/>
        <v>-0.05538314452890631</v>
      </c>
    </row>
    <row r="49" spans="1:9" ht="15" hidden="1">
      <c r="A49" s="21">
        <f t="shared" si="7"/>
        <v>2008</v>
      </c>
      <c r="B49" s="22" t="s">
        <v>16</v>
      </c>
      <c r="C49" s="23">
        <v>112.4</v>
      </c>
      <c r="D49" s="23">
        <v>153.4</v>
      </c>
      <c r="E49" s="23">
        <v>118.6</v>
      </c>
      <c r="F49" s="23">
        <v>97.6</v>
      </c>
      <c r="G49" s="27">
        <v>5.15</v>
      </c>
      <c r="H49" s="53">
        <f t="shared" si="5"/>
        <v>104.1004022871024</v>
      </c>
      <c r="I49" s="24">
        <f t="shared" si="6"/>
        <v>-0.9520620276018349</v>
      </c>
    </row>
    <row r="50" spans="1:9" ht="15" hidden="1">
      <c r="A50" s="12">
        <f t="shared" si="7"/>
        <v>2008</v>
      </c>
      <c r="B50" s="13" t="s">
        <v>17</v>
      </c>
      <c r="C50" s="14">
        <v>112.4</v>
      </c>
      <c r="D50" s="14">
        <v>152.5</v>
      </c>
      <c r="E50" s="14">
        <v>119.1</v>
      </c>
      <c r="F50" s="14">
        <v>98</v>
      </c>
      <c r="G50" s="25">
        <v>5.15</v>
      </c>
      <c r="H50" s="51">
        <f t="shared" si="5"/>
        <v>104.06496664481814</v>
      </c>
      <c r="I50" s="15">
        <f t="shared" si="6"/>
        <v>-0.03403987064961227</v>
      </c>
    </row>
    <row r="51" spans="1:9" ht="15.75" hidden="1" thickBot="1">
      <c r="A51" s="38">
        <f t="shared" si="7"/>
        <v>2008</v>
      </c>
      <c r="B51" s="39" t="s">
        <v>18</v>
      </c>
      <c r="C51" s="40">
        <v>112.4</v>
      </c>
      <c r="D51" s="40">
        <v>142</v>
      </c>
      <c r="E51" s="40">
        <v>118.9</v>
      </c>
      <c r="F51" s="40">
        <v>99.5</v>
      </c>
      <c r="G51" s="80">
        <v>5.45</v>
      </c>
      <c r="H51" s="54">
        <f t="shared" si="5"/>
        <v>103.31750424738101</v>
      </c>
      <c r="I51" s="41">
        <f t="shared" si="6"/>
        <v>-0.7182651583296809</v>
      </c>
    </row>
    <row r="52" spans="1:10" ht="15" hidden="1">
      <c r="A52" s="8">
        <v>2009</v>
      </c>
      <c r="B52" s="13" t="s">
        <v>8</v>
      </c>
      <c r="C52" s="14">
        <v>113.5</v>
      </c>
      <c r="D52" s="14">
        <v>134.2</v>
      </c>
      <c r="E52" s="14">
        <v>118.6</v>
      </c>
      <c r="F52" s="14">
        <v>100.3</v>
      </c>
      <c r="G52" s="141">
        <v>4.97</v>
      </c>
      <c r="H52" s="51">
        <f t="shared" si="5"/>
        <v>102.44626518020767</v>
      </c>
      <c r="I52" s="15">
        <f t="shared" si="6"/>
        <v>-0.8432637562433373</v>
      </c>
      <c r="J52" s="107"/>
    </row>
    <row r="53" spans="1:10" ht="15" hidden="1">
      <c r="A53" s="12">
        <f>A52</f>
        <v>2009</v>
      </c>
      <c r="B53" s="13" t="s">
        <v>9</v>
      </c>
      <c r="C53" s="14">
        <v>113.5</v>
      </c>
      <c r="D53" s="14">
        <v>123.2</v>
      </c>
      <c r="E53" s="14">
        <v>118.2</v>
      </c>
      <c r="F53" s="14">
        <v>100.3</v>
      </c>
      <c r="G53" s="141">
        <v>4.44</v>
      </c>
      <c r="H53" s="51">
        <f t="shared" si="5"/>
        <v>100.44236907631158</v>
      </c>
      <c r="I53" s="15">
        <f t="shared" si="6"/>
        <v>-1.9560460309325587</v>
      </c>
      <c r="J53" s="79"/>
    </row>
    <row r="54" spans="1:10" ht="15.75" hidden="1">
      <c r="A54" s="16">
        <f aca="true" t="shared" si="8" ref="A54:A63">A53</f>
        <v>2009</v>
      </c>
      <c r="B54" s="17" t="s">
        <v>10</v>
      </c>
      <c r="C54" s="18">
        <v>113.5</v>
      </c>
      <c r="D54" s="18">
        <v>121.5</v>
      </c>
      <c r="E54" s="18">
        <v>117.8</v>
      </c>
      <c r="F54" s="18">
        <v>98.7</v>
      </c>
      <c r="G54" s="142">
        <v>4.42</v>
      </c>
      <c r="H54" s="52">
        <f t="shared" si="5"/>
        <v>100.0388245426143</v>
      </c>
      <c r="I54" s="20">
        <f t="shared" si="6"/>
        <v>-0.40176723967023387</v>
      </c>
      <c r="J54" s="106"/>
    </row>
    <row r="55" spans="1:9" ht="15" hidden="1">
      <c r="A55" s="21">
        <f t="shared" si="8"/>
        <v>2009</v>
      </c>
      <c r="B55" s="22" t="s">
        <v>11</v>
      </c>
      <c r="C55" s="23">
        <v>114.5</v>
      </c>
      <c r="D55" s="23">
        <v>120.9</v>
      </c>
      <c r="E55" s="23">
        <v>119.3</v>
      </c>
      <c r="F55" s="23">
        <v>100.5</v>
      </c>
      <c r="G55" s="143">
        <v>4.15</v>
      </c>
      <c r="H55" s="53">
        <f t="shared" si="5"/>
        <v>100.45099393243727</v>
      </c>
      <c r="I55" s="24">
        <f t="shared" si="6"/>
        <v>0.4120094290466228</v>
      </c>
    </row>
    <row r="56" spans="1:10" ht="15" hidden="1">
      <c r="A56" s="12">
        <f t="shared" si="8"/>
        <v>2009</v>
      </c>
      <c r="B56" s="13" t="s">
        <v>12</v>
      </c>
      <c r="C56" s="14">
        <v>114.5</v>
      </c>
      <c r="D56" s="14">
        <v>118.4</v>
      </c>
      <c r="E56" s="14">
        <v>119.7</v>
      </c>
      <c r="F56" s="14">
        <v>100.9</v>
      </c>
      <c r="G56" s="141">
        <v>3.93</v>
      </c>
      <c r="H56" s="51">
        <f t="shared" si="5"/>
        <v>99.94142613300198</v>
      </c>
      <c r="I56" s="15">
        <f t="shared" si="6"/>
        <v>-0.5072799974264272</v>
      </c>
      <c r="J56" s="101"/>
    </row>
    <row r="57" spans="1:10" ht="15" hidden="1">
      <c r="A57" s="16">
        <f t="shared" si="8"/>
        <v>2009</v>
      </c>
      <c r="B57" s="17" t="s">
        <v>13</v>
      </c>
      <c r="C57" s="18">
        <v>114.5</v>
      </c>
      <c r="D57" s="18">
        <v>122.3</v>
      </c>
      <c r="E57" s="18">
        <v>119.6</v>
      </c>
      <c r="F57" s="18">
        <v>99.7</v>
      </c>
      <c r="G57" s="142">
        <v>3.89</v>
      </c>
      <c r="H57" s="52">
        <f t="shared" si="5"/>
        <v>100.23724543427278</v>
      </c>
      <c r="I57" s="20">
        <f t="shared" si="6"/>
        <v>0.2959926756269422</v>
      </c>
      <c r="J57" s="102"/>
    </row>
    <row r="58" spans="1:10" ht="15" hidden="1">
      <c r="A58" s="21">
        <f t="shared" si="8"/>
        <v>2009</v>
      </c>
      <c r="B58" s="26" t="s">
        <v>31</v>
      </c>
      <c r="C58" s="23">
        <v>115.6</v>
      </c>
      <c r="D58" s="23">
        <v>123.4</v>
      </c>
      <c r="E58" s="23">
        <v>119.9</v>
      </c>
      <c r="F58" s="23">
        <v>99.9</v>
      </c>
      <c r="G58" s="143">
        <v>3.81</v>
      </c>
      <c r="H58" s="53">
        <f t="shared" si="5"/>
        <v>100.91462050192989</v>
      </c>
      <c r="I58" s="24">
        <f t="shared" si="6"/>
        <v>0.6757718298447015</v>
      </c>
      <c r="J58" s="103"/>
    </row>
    <row r="59" spans="1:10" ht="15" hidden="1">
      <c r="A59" s="32">
        <f t="shared" si="8"/>
        <v>2009</v>
      </c>
      <c r="B59" s="33" t="s">
        <v>14</v>
      </c>
      <c r="C59" s="34">
        <v>115.6</v>
      </c>
      <c r="D59" s="34">
        <v>127.5</v>
      </c>
      <c r="E59" s="34">
        <v>120.2</v>
      </c>
      <c r="F59" s="34">
        <v>98.5</v>
      </c>
      <c r="G59" s="144">
        <v>3.69</v>
      </c>
      <c r="H59" s="55">
        <f t="shared" si="5"/>
        <v>101.14278843378494</v>
      </c>
      <c r="I59" s="15">
        <f t="shared" si="6"/>
        <v>0.22609997512767835</v>
      </c>
      <c r="J59" s="104"/>
    </row>
    <row r="60" spans="1:10" ht="15" hidden="1">
      <c r="A60" s="63">
        <f t="shared" si="8"/>
        <v>2009</v>
      </c>
      <c r="B60" s="64" t="s">
        <v>15</v>
      </c>
      <c r="C60" s="65">
        <v>115.6</v>
      </c>
      <c r="D60" s="65">
        <v>124.8</v>
      </c>
      <c r="E60" s="65">
        <v>119.6</v>
      </c>
      <c r="F60" s="65">
        <v>98.3</v>
      </c>
      <c r="G60" s="145">
        <v>3.46</v>
      </c>
      <c r="H60" s="66">
        <f t="shared" si="5"/>
        <v>100.47195565458402</v>
      </c>
      <c r="I60" s="44">
        <f t="shared" si="6"/>
        <v>-0.6632531983633168</v>
      </c>
      <c r="J60" s="105"/>
    </row>
    <row r="61" spans="1:10" ht="15" hidden="1">
      <c r="A61" s="70">
        <f t="shared" si="8"/>
        <v>2009</v>
      </c>
      <c r="B61" s="71" t="s">
        <v>16</v>
      </c>
      <c r="C61" s="68">
        <v>115.8</v>
      </c>
      <c r="D61" s="76">
        <v>131.7</v>
      </c>
      <c r="E61" s="68">
        <v>119.9</v>
      </c>
      <c r="F61" s="68">
        <v>97.5</v>
      </c>
      <c r="G61" s="146">
        <v>3.36</v>
      </c>
      <c r="H61" s="77">
        <f t="shared" si="5"/>
        <v>101.22472416038572</v>
      </c>
      <c r="I61" s="71">
        <f t="shared" si="6"/>
        <v>0.7492324608367987</v>
      </c>
      <c r="J61" s="103"/>
    </row>
    <row r="62" spans="1:10" ht="15" hidden="1">
      <c r="A62" s="32">
        <f t="shared" si="8"/>
        <v>2009</v>
      </c>
      <c r="B62" s="33" t="s">
        <v>17</v>
      </c>
      <c r="C62" s="34">
        <v>115.8</v>
      </c>
      <c r="D62" s="78">
        <v>128.1</v>
      </c>
      <c r="E62" s="34">
        <v>120.1</v>
      </c>
      <c r="F62" s="34">
        <v>97.4</v>
      </c>
      <c r="G62" s="144">
        <v>3.23</v>
      </c>
      <c r="H62" s="66">
        <f t="shared" si="5"/>
        <v>100.63721473803184</v>
      </c>
      <c r="I62" s="33">
        <f t="shared" si="6"/>
        <v>-0.5804011097357942</v>
      </c>
      <c r="J62" s="104"/>
    </row>
    <row r="63" spans="1:10" ht="16.5" hidden="1" thickBot="1">
      <c r="A63" s="72">
        <f t="shared" si="8"/>
        <v>2009</v>
      </c>
      <c r="B63" s="73" t="s">
        <v>18</v>
      </c>
      <c r="C63" s="69">
        <v>115.8</v>
      </c>
      <c r="D63">
        <v>128.1</v>
      </c>
      <c r="E63" s="135">
        <v>120.1</v>
      </c>
      <c r="F63" s="69">
        <v>97</v>
      </c>
      <c r="G63" s="136">
        <v>3.69</v>
      </c>
      <c r="H63" s="137">
        <f t="shared" si="5"/>
        <v>101.17875591000654</v>
      </c>
      <c r="I63" s="47">
        <f t="shared" si="6"/>
        <v>0.5381122414649318</v>
      </c>
      <c r="J63" s="106"/>
    </row>
    <row r="64" spans="1:13" ht="15.75" hidden="1">
      <c r="A64" s="74">
        <v>2010</v>
      </c>
      <c r="B64" s="33" t="s">
        <v>8</v>
      </c>
      <c r="C64" s="78">
        <v>116.7</v>
      </c>
      <c r="D64" s="140">
        <v>131.7</v>
      </c>
      <c r="E64" s="140">
        <v>120.1</v>
      </c>
      <c r="F64" s="140">
        <v>96.9</v>
      </c>
      <c r="G64" s="81">
        <v>3.39</v>
      </c>
      <c r="H64" s="55">
        <f t="shared" si="5"/>
        <v>101.71793762201607</v>
      </c>
      <c r="I64" s="46"/>
      <c r="J64" s="106"/>
      <c r="M64" s="201"/>
    </row>
    <row r="65" spans="1:13" ht="15.75" hidden="1">
      <c r="A65" s="12">
        <f>A64</f>
        <v>2010</v>
      </c>
      <c r="B65" s="13" t="s">
        <v>9</v>
      </c>
      <c r="C65" s="14">
        <v>116.7</v>
      </c>
      <c r="D65" s="14">
        <v>129.5</v>
      </c>
      <c r="E65" s="14">
        <v>119.9</v>
      </c>
      <c r="F65" s="14">
        <v>96.8</v>
      </c>
      <c r="G65" s="141">
        <v>3.32</v>
      </c>
      <c r="H65" s="51">
        <f t="shared" si="5"/>
        <v>101.34486093673642</v>
      </c>
      <c r="I65" s="46"/>
      <c r="J65" s="106"/>
      <c r="M65" s="201"/>
    </row>
    <row r="66" spans="1:13" ht="15.75" hidden="1">
      <c r="A66" s="16">
        <f aca="true" t="shared" si="9" ref="A66:A75">A65</f>
        <v>2010</v>
      </c>
      <c r="B66" s="17" t="s">
        <v>10</v>
      </c>
      <c r="C66" s="18">
        <v>116.7</v>
      </c>
      <c r="D66" s="18">
        <v>136.4</v>
      </c>
      <c r="E66" s="18">
        <v>120.2</v>
      </c>
      <c r="F66" s="18">
        <v>97.8</v>
      </c>
      <c r="G66" s="142">
        <v>3.13</v>
      </c>
      <c r="H66" s="52">
        <f t="shared" si="5"/>
        <v>102.04076296881883</v>
      </c>
      <c r="I66" s="46"/>
      <c r="J66" s="106"/>
      <c r="M66" s="201"/>
    </row>
    <row r="67" spans="1:13" ht="15.75" hidden="1">
      <c r="A67" s="21">
        <f t="shared" si="9"/>
        <v>2010</v>
      </c>
      <c r="B67" s="22" t="s">
        <v>11</v>
      </c>
      <c r="C67" s="23">
        <v>117.1</v>
      </c>
      <c r="D67" s="23">
        <v>134.3</v>
      </c>
      <c r="E67" s="23">
        <v>121.6</v>
      </c>
      <c r="F67" s="23">
        <v>98.1</v>
      </c>
      <c r="G67" s="143">
        <v>3</v>
      </c>
      <c r="H67" s="53">
        <f t="shared" si="5"/>
        <v>101.97301151351795</v>
      </c>
      <c r="I67" s="46"/>
      <c r="J67" s="106"/>
      <c r="M67" s="201"/>
    </row>
    <row r="68" spans="1:13" ht="15.75" hidden="1">
      <c r="A68" s="12">
        <f t="shared" si="9"/>
        <v>2010</v>
      </c>
      <c r="B68" s="13" t="s">
        <v>12</v>
      </c>
      <c r="C68" s="14">
        <v>117.1</v>
      </c>
      <c r="D68" s="14">
        <v>139.9</v>
      </c>
      <c r="E68" s="14">
        <v>122.3</v>
      </c>
      <c r="F68" s="14">
        <v>98.4</v>
      </c>
      <c r="G68" s="141">
        <v>2.9</v>
      </c>
      <c r="H68" s="51">
        <f t="shared" si="5"/>
        <v>102.59018325031738</v>
      </c>
      <c r="I68" s="46"/>
      <c r="J68" s="106"/>
      <c r="M68" s="201"/>
    </row>
    <row r="69" spans="1:13" ht="15.75" hidden="1">
      <c r="A69" s="16">
        <f t="shared" si="9"/>
        <v>2010</v>
      </c>
      <c r="B69" s="17" t="s">
        <v>13</v>
      </c>
      <c r="C69" s="18">
        <v>117.1</v>
      </c>
      <c r="D69" s="18">
        <v>144.6</v>
      </c>
      <c r="E69" s="18">
        <v>122.5</v>
      </c>
      <c r="F69" s="18">
        <v>98.9</v>
      </c>
      <c r="G69" s="142">
        <v>2.75</v>
      </c>
      <c r="H69" s="52">
        <f t="shared" si="5"/>
        <v>103.02122460369421</v>
      </c>
      <c r="I69" s="46"/>
      <c r="J69" s="106"/>
      <c r="M69" s="201"/>
    </row>
    <row r="70" spans="1:13" ht="15.75" hidden="1">
      <c r="A70" s="21">
        <f t="shared" si="9"/>
        <v>2010</v>
      </c>
      <c r="B70" s="26" t="s">
        <v>62</v>
      </c>
      <c r="C70" s="23">
        <v>118.4</v>
      </c>
      <c r="D70" s="23">
        <v>146.6</v>
      </c>
      <c r="E70" s="23">
        <v>122.5</v>
      </c>
      <c r="F70" s="23">
        <v>98.7</v>
      </c>
      <c r="G70" s="143">
        <v>2.42</v>
      </c>
      <c r="H70" s="53">
        <f t="shared" si="5"/>
        <v>103.54391995625241</v>
      </c>
      <c r="I70" s="46"/>
      <c r="J70" s="106"/>
      <c r="M70" s="201"/>
    </row>
    <row r="71" spans="1:13" ht="15.75" hidden="1">
      <c r="A71" s="32">
        <f t="shared" si="9"/>
        <v>2010</v>
      </c>
      <c r="B71" s="33" t="s">
        <v>14</v>
      </c>
      <c r="C71" s="34">
        <v>118.4</v>
      </c>
      <c r="D71" s="34">
        <v>145.8</v>
      </c>
      <c r="E71" s="34">
        <v>122.3</v>
      </c>
      <c r="F71" s="34">
        <v>100.4</v>
      </c>
      <c r="G71" s="144">
        <v>2.49</v>
      </c>
      <c r="H71" s="55">
        <f t="shared" si="5"/>
        <v>103.68044887758985</v>
      </c>
      <c r="I71" s="46"/>
      <c r="J71" s="106"/>
      <c r="M71" s="201"/>
    </row>
    <row r="72" spans="1:13" ht="15.75" hidden="1">
      <c r="A72" s="63">
        <f t="shared" si="9"/>
        <v>2010</v>
      </c>
      <c r="B72" s="64" t="s">
        <v>15</v>
      </c>
      <c r="C72" s="65">
        <v>118.4</v>
      </c>
      <c r="D72" s="65">
        <v>143.5</v>
      </c>
      <c r="E72" s="65">
        <v>122.3</v>
      </c>
      <c r="F72" s="65">
        <v>100.4</v>
      </c>
      <c r="G72" s="145">
        <v>2.52</v>
      </c>
      <c r="H72" s="66">
        <f t="shared" si="5"/>
        <v>103.44437520283692</v>
      </c>
      <c r="I72" s="46"/>
      <c r="J72" s="106"/>
      <c r="M72" s="201"/>
    </row>
    <row r="73" spans="1:13" ht="15.75" hidden="1">
      <c r="A73" s="70">
        <f t="shared" si="9"/>
        <v>2010</v>
      </c>
      <c r="B73" s="71" t="s">
        <v>16</v>
      </c>
      <c r="C73" s="68">
        <v>118.5</v>
      </c>
      <c r="D73" s="76">
        <v>143.5</v>
      </c>
      <c r="E73" s="68">
        <v>122.7</v>
      </c>
      <c r="F73" s="68">
        <v>99.5</v>
      </c>
      <c r="G73" s="146">
        <v>2.31</v>
      </c>
      <c r="H73" s="77">
        <f t="shared" si="5"/>
        <v>103.17975935042105</v>
      </c>
      <c r="I73" s="46"/>
      <c r="J73" s="106"/>
      <c r="M73" s="201"/>
    </row>
    <row r="74" spans="1:13" ht="15.75" hidden="1">
      <c r="A74" s="32">
        <f t="shared" si="9"/>
        <v>2010</v>
      </c>
      <c r="B74" s="33" t="s">
        <v>17</v>
      </c>
      <c r="C74" s="34">
        <v>118.5</v>
      </c>
      <c r="D74" s="78">
        <v>147.4</v>
      </c>
      <c r="E74" s="34">
        <v>123.2</v>
      </c>
      <c r="F74" s="34">
        <v>99.4</v>
      </c>
      <c r="G74" s="144">
        <v>2.42</v>
      </c>
      <c r="H74" s="66">
        <f t="shared" si="5"/>
        <v>103.80777308415638</v>
      </c>
      <c r="I74" s="46"/>
      <c r="J74" s="106"/>
      <c r="M74" s="201"/>
    </row>
    <row r="75" spans="1:13" ht="16.5" hidden="1" thickBot="1">
      <c r="A75" s="72">
        <f t="shared" si="9"/>
        <v>2010</v>
      </c>
      <c r="B75" s="73" t="s">
        <v>18</v>
      </c>
      <c r="C75" s="69">
        <v>118.5</v>
      </c>
      <c r="D75">
        <v>143.6</v>
      </c>
      <c r="E75" s="135">
        <v>123.1</v>
      </c>
      <c r="F75" s="69">
        <v>98.7</v>
      </c>
      <c r="G75" s="136">
        <v>2.85</v>
      </c>
      <c r="H75" s="137">
        <f t="shared" si="5"/>
        <v>103.82446466259715</v>
      </c>
      <c r="I75" s="46"/>
      <c r="J75" s="106"/>
      <c r="M75" s="201"/>
    </row>
    <row r="76" spans="1:10" ht="15" hidden="1">
      <c r="A76" s="74">
        <v>2011</v>
      </c>
      <c r="B76" s="33" t="s">
        <v>8</v>
      </c>
      <c r="C76" s="78">
        <v>119.4</v>
      </c>
      <c r="D76" s="140">
        <v>147.3</v>
      </c>
      <c r="E76" s="140">
        <v>123.2</v>
      </c>
      <c r="F76" s="140">
        <v>97.8</v>
      </c>
      <c r="G76" s="81">
        <v>2.77</v>
      </c>
      <c r="H76" s="55">
        <f aca="true" t="shared" si="10" ref="H76:H87">100+((C76-$C$40)/$C$40*100*$C$2)+((D76-$D$40)/$D$40*100*$D$2)+((E76-$E$40)/$E$40*100*$E$2)+((F76-$F$40)/$F$40*100*$F$2)+((G76-$G$40)/$G$40*100*$G$2)</f>
        <v>104.58505674273317</v>
      </c>
      <c r="I76" s="59">
        <f>(H112-H63)/H63*100</f>
        <v>8.167822120179343</v>
      </c>
      <c r="J76" s="105"/>
    </row>
    <row r="77" spans="1:10" ht="15" hidden="1">
      <c r="A77" s="32">
        <f>A76</f>
        <v>2011</v>
      </c>
      <c r="B77" s="33" t="s">
        <v>9</v>
      </c>
      <c r="C77" s="78">
        <v>119.4</v>
      </c>
      <c r="D77" s="78">
        <v>151.2</v>
      </c>
      <c r="E77" s="78">
        <v>123.3</v>
      </c>
      <c r="F77" s="78">
        <v>98.2</v>
      </c>
      <c r="G77" s="144">
        <v>2.68</v>
      </c>
      <c r="H77" s="55">
        <f t="shared" si="10"/>
        <v>104.98013649700204</v>
      </c>
      <c r="I77" s="59">
        <f aca="true" t="shared" si="11" ref="I77:I87">(H113-H112)/H112*100</f>
        <v>0.21800821256603609</v>
      </c>
      <c r="J77" s="104"/>
    </row>
    <row r="78" spans="1:10" ht="15.75" hidden="1">
      <c r="A78" s="63">
        <f aca="true" t="shared" si="12" ref="A78:A87">A77</f>
        <v>2011</v>
      </c>
      <c r="B78" s="64" t="s">
        <v>10</v>
      </c>
      <c r="C78" s="139">
        <v>119.4</v>
      </c>
      <c r="D78" s="139">
        <v>156.6</v>
      </c>
      <c r="E78" s="139">
        <v>123.4</v>
      </c>
      <c r="F78" s="139">
        <v>99</v>
      </c>
      <c r="G78" s="145">
        <v>2.91</v>
      </c>
      <c r="H78" s="149">
        <f t="shared" si="10"/>
        <v>105.99337858333936</v>
      </c>
      <c r="I78" s="60">
        <f t="shared" si="11"/>
        <v>-0.2394424983724058</v>
      </c>
      <c r="J78" s="106"/>
    </row>
    <row r="79" spans="1:10" ht="15" hidden="1">
      <c r="A79" s="70">
        <f t="shared" si="12"/>
        <v>2011</v>
      </c>
      <c r="B79" s="71" t="s">
        <v>11</v>
      </c>
      <c r="C79" s="76">
        <v>119.8</v>
      </c>
      <c r="D79" s="76">
        <v>160</v>
      </c>
      <c r="E79" s="76">
        <v>124.9</v>
      </c>
      <c r="F79" s="76">
        <v>98.5</v>
      </c>
      <c r="G79" s="146">
        <v>2.96</v>
      </c>
      <c r="H79" s="150">
        <f t="shared" si="10"/>
        <v>106.73958017361328</v>
      </c>
      <c r="I79" s="61">
        <f t="shared" si="11"/>
        <v>0.34699220300847483</v>
      </c>
      <c r="J79" s="33"/>
    </row>
    <row r="80" spans="1:10" ht="15" hidden="1">
      <c r="A80" s="32">
        <f t="shared" si="12"/>
        <v>2011</v>
      </c>
      <c r="B80" s="33" t="s">
        <v>12</v>
      </c>
      <c r="C80" s="78">
        <f>C79</f>
        <v>119.8</v>
      </c>
      <c r="D80" s="78">
        <v>163.7</v>
      </c>
      <c r="E80" s="78">
        <v>125.6</v>
      </c>
      <c r="F80" s="78">
        <v>98.5</v>
      </c>
      <c r="G80" s="144">
        <v>3.07</v>
      </c>
      <c r="H80" s="55">
        <f t="shared" si="10"/>
        <v>107.36690599244854</v>
      </c>
      <c r="I80" s="59">
        <f t="shared" si="11"/>
        <v>-0.15096625321726856</v>
      </c>
      <c r="J80" s="101"/>
    </row>
    <row r="81" spans="1:10" ht="15" hidden="1">
      <c r="A81" s="63">
        <f t="shared" si="12"/>
        <v>2011</v>
      </c>
      <c r="B81" s="64" t="s">
        <v>13</v>
      </c>
      <c r="C81" s="139">
        <f aca="true" t="shared" si="13" ref="C81:C87">C79</f>
        <v>119.8</v>
      </c>
      <c r="D81" s="139">
        <v>169.4</v>
      </c>
      <c r="E81" s="139">
        <v>126.1</v>
      </c>
      <c r="F81" s="139">
        <v>97.8</v>
      </c>
      <c r="G81" s="145">
        <v>3</v>
      </c>
      <c r="H81" s="149">
        <f t="shared" si="10"/>
        <v>107.9271775757901</v>
      </c>
      <c r="I81" s="60">
        <f t="shared" si="11"/>
        <v>-0.13944128299499509</v>
      </c>
      <c r="J81" s="102"/>
    </row>
    <row r="82" spans="1:10" ht="15" hidden="1">
      <c r="A82" s="70">
        <f t="shared" si="12"/>
        <v>2011</v>
      </c>
      <c r="B82" s="75" t="s">
        <v>31</v>
      </c>
      <c r="C82" s="76">
        <v>120.4</v>
      </c>
      <c r="D82" s="76">
        <v>163.5</v>
      </c>
      <c r="E82" s="76">
        <v>126.3</v>
      </c>
      <c r="F82" s="76">
        <v>97</v>
      </c>
      <c r="G82" s="146">
        <v>2.85</v>
      </c>
      <c r="H82" s="150">
        <f t="shared" si="10"/>
        <v>107.30731154423297</v>
      </c>
      <c r="I82" s="61">
        <f t="shared" si="11"/>
        <v>-0.03774148767926072</v>
      </c>
      <c r="J82" s="103"/>
    </row>
    <row r="83" spans="1:10" ht="15" hidden="1">
      <c r="A83" s="32">
        <f t="shared" si="12"/>
        <v>2011</v>
      </c>
      <c r="B83" s="33" t="s">
        <v>14</v>
      </c>
      <c r="C83" s="78">
        <f>C82</f>
        <v>120.4</v>
      </c>
      <c r="D83" s="78">
        <v>167.3</v>
      </c>
      <c r="E83" s="78">
        <v>126</v>
      </c>
      <c r="F83" s="78">
        <v>96.9</v>
      </c>
      <c r="G83" s="81">
        <v>2.89</v>
      </c>
      <c r="H83" s="55">
        <f t="shared" si="10"/>
        <v>107.77995894618688</v>
      </c>
      <c r="I83" s="59">
        <f t="shared" si="11"/>
        <v>0.19732922884738852</v>
      </c>
      <c r="J83" s="104"/>
    </row>
    <row r="84" spans="1:10" ht="15" hidden="1">
      <c r="A84" s="63">
        <f t="shared" si="12"/>
        <v>2011</v>
      </c>
      <c r="B84" s="64" t="s">
        <v>15</v>
      </c>
      <c r="C84" s="139">
        <f t="shared" si="13"/>
        <v>120.4</v>
      </c>
      <c r="D84" s="139">
        <v>169.1</v>
      </c>
      <c r="E84" s="139">
        <v>125.9</v>
      </c>
      <c r="F84" s="139">
        <v>96.6</v>
      </c>
      <c r="G84" s="145">
        <v>2.7</v>
      </c>
      <c r="H84" s="66">
        <f t="shared" si="10"/>
        <v>107.72051815768444</v>
      </c>
      <c r="I84" s="44">
        <f t="shared" si="11"/>
        <v>-0.17700392370488663</v>
      </c>
      <c r="J84" s="105"/>
    </row>
    <row r="85" spans="1:10" ht="15" hidden="1">
      <c r="A85" s="70">
        <f t="shared" si="12"/>
        <v>2011</v>
      </c>
      <c r="B85" s="71" t="s">
        <v>16</v>
      </c>
      <c r="C85" s="76">
        <v>120.8</v>
      </c>
      <c r="D85" s="76">
        <v>165.3</v>
      </c>
      <c r="E85" s="76">
        <v>125.9</v>
      </c>
      <c r="F85" s="76">
        <v>97.2</v>
      </c>
      <c r="G85" s="146">
        <v>2.39</v>
      </c>
      <c r="H85" s="77">
        <f t="shared" si="10"/>
        <v>107.15480734386321</v>
      </c>
      <c r="I85" s="45">
        <f t="shared" si="11"/>
        <v>0.1938330471229913</v>
      </c>
      <c r="J85" s="103"/>
    </row>
    <row r="86" spans="1:10" ht="15" hidden="1">
      <c r="A86" s="32">
        <f t="shared" si="12"/>
        <v>2011</v>
      </c>
      <c r="B86" s="33" t="s">
        <v>17</v>
      </c>
      <c r="C86" s="78">
        <f>C85</f>
        <v>120.8</v>
      </c>
      <c r="D86" s="78">
        <v>168.5</v>
      </c>
      <c r="E86" s="78">
        <v>126.3</v>
      </c>
      <c r="F86" s="78">
        <v>96.9</v>
      </c>
      <c r="G86" s="144">
        <v>2.19</v>
      </c>
      <c r="H86" s="66">
        <f t="shared" si="10"/>
        <v>107.28408664030727</v>
      </c>
      <c r="I86" s="46">
        <f t="shared" si="11"/>
        <v>-0.1889640897018698</v>
      </c>
      <c r="J86" s="104"/>
    </row>
    <row r="87" spans="1:10" ht="15.75" hidden="1" thickBot="1">
      <c r="A87" s="72">
        <f t="shared" si="12"/>
        <v>2011</v>
      </c>
      <c r="B87" s="73" t="s">
        <v>18</v>
      </c>
      <c r="C87" s="135">
        <f t="shared" si="13"/>
        <v>120.8</v>
      </c>
      <c r="D87" s="135">
        <v>169.8</v>
      </c>
      <c r="E87" s="135">
        <v>126.5</v>
      </c>
      <c r="F87" s="135">
        <v>98.1</v>
      </c>
      <c r="G87" s="136">
        <v>2.54</v>
      </c>
      <c r="H87" s="137">
        <f t="shared" si="10"/>
        <v>108.00417847192873</v>
      </c>
      <c r="I87" s="47">
        <f t="shared" si="11"/>
        <v>-0.44736015762392245</v>
      </c>
      <c r="J87" s="104"/>
    </row>
    <row r="88" spans="1:10" ht="15" hidden="1">
      <c r="A88" s="74">
        <v>2012</v>
      </c>
      <c r="B88" s="33" t="s">
        <v>8</v>
      </c>
      <c r="C88" s="76">
        <v>121.3</v>
      </c>
      <c r="D88" s="140">
        <v>173.6</v>
      </c>
      <c r="E88" s="78">
        <v>126.4</v>
      </c>
      <c r="F88" s="78">
        <v>97.6</v>
      </c>
      <c r="G88" s="81">
        <v>2.23</v>
      </c>
      <c r="H88" s="164">
        <f aca="true" t="shared" si="14" ref="H88:H99">100+((C88-$C$40)/$C$40*100*$C$2)+((D88-$D$40)/$D$40*100*$D$2)+((E88-$E$40)/$E$40*100*$E$2)+((F88-$F$40)/$F$40*100*$F$2)+((G88-$G$40)/$G$40*100*$G$2)</f>
        <v>108.28959502910448</v>
      </c>
      <c r="I88" s="59">
        <f>(H76-H123)/H123*100</f>
        <v>-4.028955289245769</v>
      </c>
      <c r="J88" s="105"/>
    </row>
    <row r="89" spans="1:10" ht="15" hidden="1">
      <c r="A89" s="32">
        <f>A88</f>
        <v>2012</v>
      </c>
      <c r="B89" s="33" t="s">
        <v>9</v>
      </c>
      <c r="C89">
        <f>C88</f>
        <v>121.3</v>
      </c>
      <c r="D89" s="78">
        <v>169.6</v>
      </c>
      <c r="E89" s="78">
        <v>126.4</v>
      </c>
      <c r="F89" s="78">
        <v>98.3</v>
      </c>
      <c r="G89" s="144">
        <v>1.87</v>
      </c>
      <c r="H89" s="164">
        <f t="shared" si="14"/>
        <v>107.42545592963126</v>
      </c>
      <c r="I89" s="59">
        <f aca="true" t="shared" si="15" ref="I89:I99">(H77-H76)/H76*100</f>
        <v>0.3777592770645166</v>
      </c>
      <c r="J89" s="104"/>
    </row>
    <row r="90" spans="1:10" ht="15.75" hidden="1">
      <c r="A90" s="63">
        <f aca="true" t="shared" si="16" ref="A90:A99">A89</f>
        <v>2012</v>
      </c>
      <c r="B90" s="64" t="s">
        <v>10</v>
      </c>
      <c r="C90" s="17">
        <f>C88</f>
        <v>121.3</v>
      </c>
      <c r="D90" s="139">
        <v>174.9</v>
      </c>
      <c r="E90" s="139">
        <v>126.8</v>
      </c>
      <c r="F90" s="139">
        <v>99.2</v>
      </c>
      <c r="G90" s="145">
        <v>1.97</v>
      </c>
      <c r="H90" s="165">
        <f t="shared" si="14"/>
        <v>108.29331925732106</v>
      </c>
      <c r="I90" s="60">
        <f t="shared" si="15"/>
        <v>0.9651750513453218</v>
      </c>
      <c r="J90" s="106"/>
    </row>
    <row r="91" spans="1:10" ht="15" hidden="1">
      <c r="A91" s="70">
        <f t="shared" si="16"/>
        <v>2012</v>
      </c>
      <c r="B91" s="71" t="s">
        <v>11</v>
      </c>
      <c r="C91" s="78">
        <v>122.1</v>
      </c>
      <c r="D91" s="78">
        <v>177.5</v>
      </c>
      <c r="E91" s="78">
        <v>128.4</v>
      </c>
      <c r="F91" s="78">
        <v>99.9</v>
      </c>
      <c r="G91" s="146">
        <v>2</v>
      </c>
      <c r="H91" s="166">
        <f t="shared" si="14"/>
        <v>109.25827194239672</v>
      </c>
      <c r="I91" s="61">
        <f t="shared" si="15"/>
        <v>0.704007741094126</v>
      </c>
      <c r="J91" s="33"/>
    </row>
    <row r="92" spans="1:10" ht="15" hidden="1">
      <c r="A92" s="32">
        <f t="shared" si="16"/>
        <v>2012</v>
      </c>
      <c r="B92" s="33" t="s">
        <v>12</v>
      </c>
      <c r="C92" s="78">
        <f>C91</f>
        <v>122.1</v>
      </c>
      <c r="D92" s="78">
        <v>180.6</v>
      </c>
      <c r="E92" s="78">
        <v>129</v>
      </c>
      <c r="F92" s="78">
        <v>99.3</v>
      </c>
      <c r="G92" s="144">
        <v>1.94</v>
      </c>
      <c r="H92" s="164">
        <f t="shared" si="14"/>
        <v>109.53779353454972</v>
      </c>
      <c r="I92" s="59">
        <f t="shared" si="15"/>
        <v>0.5877162134373272</v>
      </c>
      <c r="J92" s="101"/>
    </row>
    <row r="93" spans="1:10" ht="15" hidden="1">
      <c r="A93" s="63">
        <f t="shared" si="16"/>
        <v>2012</v>
      </c>
      <c r="B93" s="64" t="s">
        <v>13</v>
      </c>
      <c r="C93" s="139">
        <f aca="true" t="shared" si="17" ref="C93:C99">C91</f>
        <v>122.1</v>
      </c>
      <c r="D93" s="139">
        <v>178.2</v>
      </c>
      <c r="E93" s="139">
        <v>129</v>
      </c>
      <c r="F93" s="139">
        <v>99.8</v>
      </c>
      <c r="G93" s="145">
        <v>1.81</v>
      </c>
      <c r="H93" s="165">
        <f t="shared" si="14"/>
        <v>109.13490121154003</v>
      </c>
      <c r="I93" s="60">
        <f t="shared" si="15"/>
        <v>0.5218289361723489</v>
      </c>
      <c r="J93" s="102"/>
    </row>
    <row r="94" spans="1:10" ht="15" hidden="1">
      <c r="A94" s="70">
        <f t="shared" si="16"/>
        <v>2012</v>
      </c>
      <c r="B94" s="75" t="s">
        <v>31</v>
      </c>
      <c r="C94" s="157">
        <v>122.6</v>
      </c>
      <c r="D94" s="157">
        <v>173.7</v>
      </c>
      <c r="E94" s="157">
        <v>129</v>
      </c>
      <c r="F94" s="157">
        <v>99.6</v>
      </c>
      <c r="G94" s="158">
        <v>1.54</v>
      </c>
      <c r="H94" s="166">
        <f t="shared" si="14"/>
        <v>108.51726978812567</v>
      </c>
      <c r="I94" s="61">
        <f t="shared" si="15"/>
        <v>-0.5743372943500097</v>
      </c>
      <c r="J94" s="103"/>
    </row>
    <row r="95" spans="1:10" ht="15" hidden="1">
      <c r="A95" s="32">
        <f t="shared" si="16"/>
        <v>2012</v>
      </c>
      <c r="B95" s="33" t="s">
        <v>14</v>
      </c>
      <c r="C95" s="78">
        <f>C94</f>
        <v>122.6</v>
      </c>
      <c r="D95" s="157">
        <v>168.3</v>
      </c>
      <c r="E95" s="78">
        <v>128.8</v>
      </c>
      <c r="F95" s="78">
        <v>101</v>
      </c>
      <c r="G95" s="159">
        <v>1.64</v>
      </c>
      <c r="H95" s="164">
        <f t="shared" si="14"/>
        <v>108.11610912573073</v>
      </c>
      <c r="I95" s="59">
        <f t="shared" si="15"/>
        <v>0.44046150737741446</v>
      </c>
      <c r="J95" s="104"/>
    </row>
    <row r="96" spans="1:10" ht="15" hidden="1">
      <c r="A96" s="63">
        <f t="shared" si="16"/>
        <v>2012</v>
      </c>
      <c r="B96" s="64" t="s">
        <v>15</v>
      </c>
      <c r="C96" s="139">
        <f t="shared" si="17"/>
        <v>122.6</v>
      </c>
      <c r="D96" s="160">
        <v>175.4</v>
      </c>
      <c r="E96" s="139">
        <v>128.8</v>
      </c>
      <c r="F96" s="139">
        <v>101.1</v>
      </c>
      <c r="G96" s="161">
        <v>1.44</v>
      </c>
      <c r="H96" s="167">
        <f t="shared" si="14"/>
        <v>108.71904368898144</v>
      </c>
      <c r="I96" s="44">
        <f t="shared" si="15"/>
        <v>-0.05515013095534801</v>
      </c>
      <c r="J96" s="105"/>
    </row>
    <row r="97" spans="1:10" ht="15" hidden="1">
      <c r="A97" s="70">
        <f t="shared" si="16"/>
        <v>2012</v>
      </c>
      <c r="B97" s="33" t="s">
        <v>16</v>
      </c>
      <c r="C97" s="78">
        <v>122.8</v>
      </c>
      <c r="D97" s="157">
        <v>180.3</v>
      </c>
      <c r="E97" s="78">
        <v>129.2</v>
      </c>
      <c r="F97" s="78">
        <v>101.8</v>
      </c>
      <c r="G97" s="159">
        <v>1.46</v>
      </c>
      <c r="H97" s="168">
        <f t="shared" si="14"/>
        <v>109.53061868569037</v>
      </c>
      <c r="I97" s="45">
        <f t="shared" si="15"/>
        <v>-0.5251653292208663</v>
      </c>
      <c r="J97" s="103"/>
    </row>
    <row r="98" spans="1:10" ht="15" hidden="1">
      <c r="A98" s="32">
        <f t="shared" si="16"/>
        <v>2012</v>
      </c>
      <c r="B98" s="33" t="s">
        <v>17</v>
      </c>
      <c r="C98" s="78">
        <f>C97</f>
        <v>122.8</v>
      </c>
      <c r="D98" s="157">
        <v>180.5</v>
      </c>
      <c r="E98" s="157">
        <v>129.5</v>
      </c>
      <c r="F98" s="157">
        <v>101.4</v>
      </c>
      <c r="G98" s="159">
        <v>1.54</v>
      </c>
      <c r="H98" s="167">
        <f t="shared" si="14"/>
        <v>109.63876118087016</v>
      </c>
      <c r="I98" s="46">
        <f t="shared" si="15"/>
        <v>0.12064722026814184</v>
      </c>
      <c r="J98" s="33"/>
    </row>
    <row r="99" spans="1:10" ht="15" customHeight="1" hidden="1" thickBot="1">
      <c r="A99" s="72">
        <f t="shared" si="16"/>
        <v>2012</v>
      </c>
      <c r="B99" s="73" t="s">
        <v>18</v>
      </c>
      <c r="C99" s="135">
        <f t="shared" si="17"/>
        <v>122.8</v>
      </c>
      <c r="D99" s="162">
        <f>D98</f>
        <v>180.5</v>
      </c>
      <c r="E99" s="135">
        <v>129.4</v>
      </c>
      <c r="F99" s="135">
        <v>100.5</v>
      </c>
      <c r="G99" s="163">
        <v>1.67</v>
      </c>
      <c r="H99" s="169">
        <f t="shared" si="14"/>
        <v>109.71193763101257</v>
      </c>
      <c r="I99" s="47">
        <f t="shared" si="15"/>
        <v>0.671200971338574</v>
      </c>
      <c r="J99" s="67"/>
    </row>
    <row r="100" spans="1:10" ht="15" hidden="1">
      <c r="A100" s="74">
        <v>2013</v>
      </c>
      <c r="B100" s="33" t="s">
        <v>8</v>
      </c>
      <c r="C100" s="174">
        <f>123.1*1.0101</f>
        <v>124.34330999999999</v>
      </c>
      <c r="D100" s="157">
        <v>174.9</v>
      </c>
      <c r="E100" s="157">
        <v>129.3</v>
      </c>
      <c r="F100" s="157">
        <v>100.2</v>
      </c>
      <c r="G100" s="159">
        <v>1.47</v>
      </c>
      <c r="H100" s="175">
        <f aca="true" t="shared" si="18" ref="H100:H112">100+((C100-$C$40)/$C$40*100*$C$2)+((D100-$D$40)/$D$40*100*$D$2)+((E100-$E$40)/$E$40*100*$E$2)+((F100-$F$40)/$F$40*100*$F$2)+((G100-$G$40)/$G$40*100*$G$2)</f>
        <v>109.6116233037691</v>
      </c>
      <c r="J100" s="177" t="s">
        <v>41</v>
      </c>
    </row>
    <row r="101" spans="1:10" ht="15" hidden="1">
      <c r="A101" s="32">
        <f>A100</f>
        <v>2013</v>
      </c>
      <c r="B101" s="33" t="s">
        <v>9</v>
      </c>
      <c r="C101" s="174">
        <f>123.1*1.0101</f>
        <v>124.34330999999999</v>
      </c>
      <c r="D101" s="157">
        <v>170.5</v>
      </c>
      <c r="E101" s="157">
        <v>128.9</v>
      </c>
      <c r="F101" s="157">
        <v>100.7</v>
      </c>
      <c r="G101" s="159">
        <v>1.44</v>
      </c>
      <c r="H101" s="175">
        <f t="shared" si="18"/>
        <v>109.06871627848055</v>
      </c>
      <c r="J101" s="177" t="s">
        <v>42</v>
      </c>
    </row>
    <row r="102" spans="1:8" ht="15" hidden="1">
      <c r="A102" s="63">
        <f aca="true" t="shared" si="19" ref="A102:A111">A101</f>
        <v>2013</v>
      </c>
      <c r="B102" s="64" t="s">
        <v>10</v>
      </c>
      <c r="C102" s="160">
        <f>123.1*1.0101</f>
        <v>124.34330999999999</v>
      </c>
      <c r="D102" s="160">
        <v>171.1</v>
      </c>
      <c r="E102" s="139">
        <v>128.4</v>
      </c>
      <c r="F102" s="160">
        <v>99.5</v>
      </c>
      <c r="G102" s="161">
        <v>1.69</v>
      </c>
      <c r="H102" s="165">
        <f t="shared" si="18"/>
        <v>109.30875268340239</v>
      </c>
    </row>
    <row r="103" spans="1:8" ht="15" hidden="1">
      <c r="A103" s="70">
        <f t="shared" si="19"/>
        <v>2013</v>
      </c>
      <c r="B103" s="71" t="s">
        <v>11</v>
      </c>
      <c r="C103" s="157">
        <f>123.7*1.0101</f>
        <v>124.94937</v>
      </c>
      <c r="D103" s="157">
        <v>174.5</v>
      </c>
      <c r="E103" s="157">
        <v>129.9</v>
      </c>
      <c r="F103" s="157">
        <f>F102*(1+(((SUM(F$88:F$99)-SUM(F$76:F$87))/SUM(F$76:F$87))/12))</f>
        <v>99.69093816631131</v>
      </c>
      <c r="G103" s="159">
        <v>1.54</v>
      </c>
      <c r="H103" s="150">
        <f t="shared" si="18"/>
        <v>109.98126889310322</v>
      </c>
    </row>
    <row r="104" spans="1:8" ht="15" hidden="1">
      <c r="A104" s="32">
        <f t="shared" si="19"/>
        <v>2013</v>
      </c>
      <c r="B104" s="33" t="s">
        <v>12</v>
      </c>
      <c r="C104" s="157">
        <f>123.7*1.0101</f>
        <v>124.94937</v>
      </c>
      <c r="D104" s="157">
        <v>171.1</v>
      </c>
      <c r="E104" s="157">
        <f>E103*(1+(((SUM(E$88:E$99)-SUM(E$76:E$87))/SUM(E$76:E$87))/12))</f>
        <v>130.16857290142343</v>
      </c>
      <c r="F104" s="157">
        <v>99.6</v>
      </c>
      <c r="G104" s="159">
        <v>1.45</v>
      </c>
      <c r="H104" s="55">
        <f t="shared" si="18"/>
        <v>109.4734730209545</v>
      </c>
    </row>
    <row r="105" spans="1:8" ht="15" hidden="1">
      <c r="A105" s="63">
        <f t="shared" si="19"/>
        <v>2013</v>
      </c>
      <c r="B105" s="64" t="s">
        <v>13</v>
      </c>
      <c r="C105" s="160">
        <f>123.7*1.0101</f>
        <v>124.94937</v>
      </c>
      <c r="D105" s="160">
        <v>164.4</v>
      </c>
      <c r="E105" s="160">
        <v>130</v>
      </c>
      <c r="F105" s="160">
        <v>100.5</v>
      </c>
      <c r="G105" s="161">
        <v>1.33</v>
      </c>
      <c r="H105" s="149">
        <f t="shared" si="18"/>
        <v>108.59665368749857</v>
      </c>
    </row>
    <row r="106" spans="1:8" ht="15" hidden="1">
      <c r="A106" s="70">
        <f t="shared" si="19"/>
        <v>2013</v>
      </c>
      <c r="B106" s="75" t="s">
        <v>31</v>
      </c>
      <c r="C106" s="157">
        <f>124.1*1.0101</f>
        <v>125.35341</v>
      </c>
      <c r="D106" s="157">
        <v>165.7</v>
      </c>
      <c r="E106" s="157">
        <v>130.1</v>
      </c>
      <c r="F106" s="157">
        <v>100.1</v>
      </c>
      <c r="G106" s="159">
        <v>1.38</v>
      </c>
      <c r="H106" s="150">
        <f t="shared" si="18"/>
        <v>109.00738642005831</v>
      </c>
    </row>
    <row r="107" spans="1:8" ht="15" hidden="1">
      <c r="A107" s="32">
        <f t="shared" si="19"/>
        <v>2013</v>
      </c>
      <c r="B107" s="33" t="s">
        <v>14</v>
      </c>
      <c r="C107" s="157">
        <f>124.1*1.0101</f>
        <v>125.35341</v>
      </c>
      <c r="D107" s="157">
        <v>165.3</v>
      </c>
      <c r="E107" s="157">
        <v>130</v>
      </c>
      <c r="F107" s="157">
        <v>100.2</v>
      </c>
      <c r="G107" s="159">
        <v>1.56</v>
      </c>
      <c r="H107" s="55">
        <f t="shared" si="18"/>
        <v>109.18852485490916</v>
      </c>
    </row>
    <row r="108" spans="1:8" ht="15" hidden="1">
      <c r="A108" s="63">
        <f t="shared" si="19"/>
        <v>2013</v>
      </c>
      <c r="B108" s="64" t="s">
        <v>15</v>
      </c>
      <c r="C108" s="160">
        <f>124.1*1.0101</f>
        <v>125.35341</v>
      </c>
      <c r="D108" s="160">
        <v>169.4</v>
      </c>
      <c r="E108" s="160">
        <v>129.6</v>
      </c>
      <c r="F108" s="160">
        <v>99.6</v>
      </c>
      <c r="G108" s="161">
        <v>1.57</v>
      </c>
      <c r="H108" s="181">
        <f t="shared" si="18"/>
        <v>109.60588031131111</v>
      </c>
    </row>
    <row r="109" spans="1:8" ht="15" hidden="1">
      <c r="A109" s="70">
        <f t="shared" si="19"/>
        <v>2013</v>
      </c>
      <c r="B109" s="33" t="s">
        <v>16</v>
      </c>
      <c r="C109" s="157">
        <f>124.4*1.0101</f>
        <v>125.65644</v>
      </c>
      <c r="D109" s="157">
        <v>168.6</v>
      </c>
      <c r="E109" s="157">
        <v>129.7</v>
      </c>
      <c r="F109" s="157">
        <v>99.6</v>
      </c>
      <c r="G109" s="159">
        <v>1.7</v>
      </c>
      <c r="H109" s="66">
        <f t="shared" si="18"/>
        <v>109.84851052508078</v>
      </c>
    </row>
    <row r="110" spans="1:8" ht="15" hidden="1">
      <c r="A110" s="32">
        <f t="shared" si="19"/>
        <v>2013</v>
      </c>
      <c r="B110" s="33" t="s">
        <v>17</v>
      </c>
      <c r="C110" s="157">
        <f>C109</f>
        <v>125.65644</v>
      </c>
      <c r="D110" s="157">
        <v>173.5</v>
      </c>
      <c r="E110" s="157">
        <v>130.1</v>
      </c>
      <c r="F110" s="157">
        <v>99.3</v>
      </c>
      <c r="G110" s="159">
        <v>1.63</v>
      </c>
      <c r="H110" s="66">
        <f t="shared" si="18"/>
        <v>110.34369278648441</v>
      </c>
    </row>
    <row r="111" spans="1:9" ht="15.75" hidden="1" thickBot="1">
      <c r="A111" s="72">
        <f t="shared" si="19"/>
        <v>2013</v>
      </c>
      <c r="B111" s="73" t="s">
        <v>18</v>
      </c>
      <c r="C111" s="162">
        <f>C109</f>
        <v>125.65644</v>
      </c>
      <c r="D111" s="162">
        <v>169.1</v>
      </c>
      <c r="E111" s="162">
        <v>130.3</v>
      </c>
      <c r="F111" s="162">
        <v>99.3</v>
      </c>
      <c r="G111" s="163">
        <v>1.69</v>
      </c>
      <c r="H111" s="137">
        <f t="shared" si="18"/>
        <v>109.90920777464092</v>
      </c>
      <c r="I111" s="13"/>
    </row>
    <row r="112" spans="1:8" ht="13.5" customHeight="1" hidden="1">
      <c r="A112" s="74">
        <v>2014</v>
      </c>
      <c r="B112" s="88" t="s">
        <v>8</v>
      </c>
      <c r="C112" s="157">
        <f>124.6*1.0101</f>
        <v>125.85846</v>
      </c>
      <c r="D112" s="157">
        <v>167</v>
      </c>
      <c r="E112" s="157">
        <v>130</v>
      </c>
      <c r="F112" s="157">
        <v>98.7</v>
      </c>
      <c r="G112" s="159">
        <v>1.49</v>
      </c>
      <c r="H112" s="66">
        <f t="shared" si="18"/>
        <v>109.44285671614632</v>
      </c>
    </row>
    <row r="113" spans="1:8" ht="15" hidden="1">
      <c r="A113" s="32">
        <f>A112</f>
        <v>2014</v>
      </c>
      <c r="B113" s="33" t="s">
        <v>9</v>
      </c>
      <c r="C113" s="157">
        <f>C112</f>
        <v>125.85846</v>
      </c>
      <c r="D113" s="157">
        <v>167.8</v>
      </c>
      <c r="E113" s="157">
        <v>129.9</v>
      </c>
      <c r="F113" s="157">
        <v>99.1</v>
      </c>
      <c r="G113" s="159">
        <v>1.58</v>
      </c>
      <c r="H113" s="66">
        <f aca="true" t="shared" si="20" ref="H113:H123">100+((C113-$C$40)/$C$40*100*$C$2)+((D113-$D$40)/$D$40*100*$D$2)+((E113-$E$40)/$E$40*100*$E$2)+((F113-$F$40)/$F$40*100*$F$2)+((G113-$G$40)/$G$40*100*$G$2)</f>
        <v>109.6814511318544</v>
      </c>
    </row>
    <row r="114" spans="1:10" ht="15" hidden="1">
      <c r="A114" s="63">
        <f aca="true" t="shared" si="21" ref="A114:A123">A113</f>
        <v>2014</v>
      </c>
      <c r="B114" s="64" t="s">
        <v>10</v>
      </c>
      <c r="C114" s="160">
        <f>C112</f>
        <v>125.85846</v>
      </c>
      <c r="D114" s="160">
        <v>166.5</v>
      </c>
      <c r="E114" s="160">
        <v>129.7</v>
      </c>
      <c r="F114" s="182">
        <v>98.9</v>
      </c>
      <c r="G114" s="161">
        <v>1.52</v>
      </c>
      <c r="H114" s="181">
        <f t="shared" si="20"/>
        <v>109.41882712501318</v>
      </c>
      <c r="J114" s="177" t="s">
        <v>45</v>
      </c>
    </row>
    <row r="115" spans="1:8" ht="15" hidden="1">
      <c r="A115" s="70">
        <f t="shared" si="21"/>
        <v>2014</v>
      </c>
      <c r="B115" s="71" t="s">
        <v>11</v>
      </c>
      <c r="C115" s="157">
        <f>125.1*1.0101</f>
        <v>126.36350999999999</v>
      </c>
      <c r="D115" s="157">
        <v>167.3</v>
      </c>
      <c r="E115" s="157">
        <v>130.6</v>
      </c>
      <c r="F115" s="174">
        <v>99.1</v>
      </c>
      <c r="G115" s="159">
        <v>1.46</v>
      </c>
      <c r="H115" s="66">
        <f t="shared" si="20"/>
        <v>109.7985019237603</v>
      </c>
    </row>
    <row r="116" spans="1:8" ht="15" hidden="1">
      <c r="A116" s="32">
        <f t="shared" si="21"/>
        <v>2014</v>
      </c>
      <c r="B116" s="33" t="s">
        <v>12</v>
      </c>
      <c r="C116" s="157">
        <f>C115</f>
        <v>126.36350999999999</v>
      </c>
      <c r="D116" s="157">
        <v>166.4</v>
      </c>
      <c r="E116" s="157">
        <v>130.7</v>
      </c>
      <c r="F116" s="174">
        <v>98.8</v>
      </c>
      <c r="G116" s="159">
        <v>1.43</v>
      </c>
      <c r="H116" s="66">
        <f t="shared" si="20"/>
        <v>109.6327432393173</v>
      </c>
    </row>
    <row r="117" spans="1:8" ht="15" hidden="1">
      <c r="A117" s="63">
        <f t="shared" si="21"/>
        <v>2014</v>
      </c>
      <c r="B117" s="64" t="s">
        <v>13</v>
      </c>
      <c r="C117" s="160">
        <f>C115</f>
        <v>126.36350999999999</v>
      </c>
      <c r="D117" s="160">
        <v>165.5</v>
      </c>
      <c r="E117" s="160">
        <v>130.9</v>
      </c>
      <c r="F117" s="194">
        <v>98.7</v>
      </c>
      <c r="G117" s="161">
        <v>1.39</v>
      </c>
      <c r="H117" s="149">
        <f t="shared" si="20"/>
        <v>109.4798699355618</v>
      </c>
    </row>
    <row r="118" spans="1:8" ht="15" hidden="1">
      <c r="A118" s="70">
        <f t="shared" si="21"/>
        <v>2014</v>
      </c>
      <c r="B118" s="75" t="s">
        <v>31</v>
      </c>
      <c r="C118" s="157">
        <f>125.4*1.0101</f>
        <v>126.66654000000001</v>
      </c>
      <c r="D118" s="157">
        <v>164.6</v>
      </c>
      <c r="E118" s="157">
        <v>130.8</v>
      </c>
      <c r="F118" s="174">
        <v>98.9</v>
      </c>
      <c r="G118" s="159">
        <v>1.3</v>
      </c>
      <c r="H118" s="150">
        <f t="shared" si="20"/>
        <v>109.4385506039388</v>
      </c>
    </row>
    <row r="119" spans="1:8" ht="15" hidden="1">
      <c r="A119" s="32">
        <f t="shared" si="21"/>
        <v>2014</v>
      </c>
      <c r="B119" s="33" t="s">
        <v>14</v>
      </c>
      <c r="C119" s="157">
        <f>C118</f>
        <v>126.66654000000001</v>
      </c>
      <c r="D119" s="157">
        <v>166.5</v>
      </c>
      <c r="E119" s="157">
        <v>130.7</v>
      </c>
      <c r="F119" s="174">
        <v>99</v>
      </c>
      <c r="G119" s="159">
        <v>1.29</v>
      </c>
      <c r="H119" s="66">
        <f t="shared" si="20"/>
        <v>109.6545048519073</v>
      </c>
    </row>
    <row r="120" spans="1:8" ht="15" hidden="1">
      <c r="A120" s="63">
        <f t="shared" si="21"/>
        <v>2014</v>
      </c>
      <c r="B120" s="64" t="s">
        <v>15</v>
      </c>
      <c r="C120" s="160">
        <f>C118</f>
        <v>126.66654000000001</v>
      </c>
      <c r="D120" s="160">
        <v>164.9</v>
      </c>
      <c r="E120" s="160">
        <v>130.6</v>
      </c>
      <c r="F120" s="182">
        <v>98.9</v>
      </c>
      <c r="G120" s="161">
        <v>1.3</v>
      </c>
      <c r="H120" s="181">
        <f t="shared" si="20"/>
        <v>109.46041207580026</v>
      </c>
    </row>
    <row r="121" spans="1:8" ht="15" hidden="1">
      <c r="A121" s="70">
        <f t="shared" si="21"/>
        <v>2014</v>
      </c>
      <c r="B121" s="33" t="s">
        <v>16</v>
      </c>
      <c r="C121" s="157">
        <f>125.9*1.0101</f>
        <v>127.17159000000001</v>
      </c>
      <c r="D121" s="157">
        <v>165.3</v>
      </c>
      <c r="E121" s="157">
        <v>130.4</v>
      </c>
      <c r="F121" s="174">
        <v>98.9</v>
      </c>
      <c r="G121" s="159">
        <v>1.22</v>
      </c>
      <c r="H121" s="150">
        <f t="shared" si="20"/>
        <v>109.67258252792017</v>
      </c>
    </row>
    <row r="122" spans="1:10" ht="15" hidden="1">
      <c r="A122" s="32">
        <f t="shared" si="21"/>
        <v>2014</v>
      </c>
      <c r="B122" s="33" t="s">
        <v>17</v>
      </c>
      <c r="C122" s="157">
        <f>C121</f>
        <v>127.17159000000001</v>
      </c>
      <c r="D122" s="157">
        <v>163.6</v>
      </c>
      <c r="E122" s="157">
        <v>130.8</v>
      </c>
      <c r="F122" s="198">
        <f>+F$121*(103.5/103.3)</f>
        <v>99.0914811229429</v>
      </c>
      <c r="G122" s="159">
        <v>1.18</v>
      </c>
      <c r="H122" s="66">
        <f t="shared" si="20"/>
        <v>109.46534073069375</v>
      </c>
      <c r="J122" s="197" t="s">
        <v>67</v>
      </c>
    </row>
    <row r="123" spans="1:9" ht="15.75" hidden="1" thickBot="1">
      <c r="A123" s="72">
        <f t="shared" si="21"/>
        <v>2014</v>
      </c>
      <c r="B123" s="73" t="s">
        <v>18</v>
      </c>
      <c r="C123" s="162">
        <f>C121</f>
        <v>127.17159000000001</v>
      </c>
      <c r="D123" s="162">
        <v>158.9</v>
      </c>
      <c r="E123" s="162">
        <v>130.9</v>
      </c>
      <c r="F123" s="199">
        <f>+F$121*(103.5/103.3)</f>
        <v>99.0914811229429</v>
      </c>
      <c r="G123" s="163">
        <v>1.23</v>
      </c>
      <c r="H123" s="137">
        <f t="shared" si="20"/>
        <v>108.97563640985736</v>
      </c>
      <c r="I123" s="13"/>
    </row>
    <row r="124" spans="1:9" ht="15" hidden="1">
      <c r="A124" s="74">
        <v>2015</v>
      </c>
      <c r="B124" s="187" t="s">
        <v>8</v>
      </c>
      <c r="C124" s="157">
        <v>127.7</v>
      </c>
      <c r="D124" s="157">
        <v>158.3</v>
      </c>
      <c r="E124" s="157">
        <v>130.6</v>
      </c>
      <c r="F124" s="198">
        <f>+F$121*(103.4/103.3)</f>
        <v>98.99574056147146</v>
      </c>
      <c r="G124" s="159">
        <v>1.17</v>
      </c>
      <c r="H124" s="66">
        <f aca="true" t="shared" si="22" ref="H124:H147">100+((C124-$C$40)/$C$40*100*$C$2)+((D124-$D$40)/$D$40*100*$D$2)+((E124-$E$40)/$E$40*100*$E$2)+((F124-$F$40)/$F$40*100*$F$2)+((G124-$G$40)/$G$40*100*$G$2)</f>
        <v>109.09102214962684</v>
      </c>
      <c r="I124" s="13"/>
    </row>
    <row r="125" spans="1:8" ht="15" hidden="1">
      <c r="A125" s="32">
        <f>A124</f>
        <v>2015</v>
      </c>
      <c r="B125" s="33" t="s">
        <v>9</v>
      </c>
      <c r="C125" s="157">
        <f>C124</f>
        <v>127.7</v>
      </c>
      <c r="D125" s="157">
        <v>146.4</v>
      </c>
      <c r="E125" s="157">
        <v>130.3</v>
      </c>
      <c r="F125" s="198">
        <f>+F$121*(103.8/103.3)</f>
        <v>99.37870280735723</v>
      </c>
      <c r="G125" s="159">
        <v>1.1</v>
      </c>
      <c r="H125" s="66">
        <f t="shared" si="22"/>
        <v>107.60102193343101</v>
      </c>
    </row>
    <row r="126" spans="1:8" ht="15" hidden="1">
      <c r="A126" s="63">
        <f aca="true" t="shared" si="23" ref="A126:A135">A125</f>
        <v>2015</v>
      </c>
      <c r="B126" s="64" t="s">
        <v>10</v>
      </c>
      <c r="C126" s="160">
        <f>C124</f>
        <v>127.7</v>
      </c>
      <c r="D126" s="160">
        <v>139.8</v>
      </c>
      <c r="E126" s="160">
        <v>129.6</v>
      </c>
      <c r="F126" s="200">
        <v>99.8</v>
      </c>
      <c r="G126" s="161">
        <v>0.87</v>
      </c>
      <c r="H126" s="181">
        <f t="shared" si="22"/>
        <v>106.51656379649668</v>
      </c>
    </row>
    <row r="127" spans="1:9" ht="15" hidden="1">
      <c r="A127" s="70">
        <f t="shared" si="23"/>
        <v>2015</v>
      </c>
      <c r="B127" s="187" t="s">
        <v>11</v>
      </c>
      <c r="C127" s="157">
        <f>126.9*1.0101</f>
        <v>128.18169</v>
      </c>
      <c r="D127" s="157">
        <v>148.1</v>
      </c>
      <c r="E127" s="157">
        <v>130.9</v>
      </c>
      <c r="F127" s="198">
        <v>100</v>
      </c>
      <c r="G127" s="159">
        <v>0.82</v>
      </c>
      <c r="H127" s="66">
        <f t="shared" si="22"/>
        <v>107.81647390481069</v>
      </c>
      <c r="I127" s="13"/>
    </row>
    <row r="128" spans="1:9" ht="15" hidden="1">
      <c r="A128" s="32">
        <f t="shared" si="23"/>
        <v>2015</v>
      </c>
      <c r="B128" s="33" t="s">
        <v>12</v>
      </c>
      <c r="C128" s="157">
        <f>126.9*1.0101</f>
        <v>128.18169</v>
      </c>
      <c r="D128" s="157">
        <v>149.1</v>
      </c>
      <c r="E128" s="157">
        <v>131.5</v>
      </c>
      <c r="F128" s="198">
        <v>100.3</v>
      </c>
      <c r="G128" s="159">
        <v>0.84</v>
      </c>
      <c r="H128" s="66">
        <f t="shared" si="22"/>
        <v>108.0300435832911</v>
      </c>
      <c r="I128" s="13"/>
    </row>
    <row r="129" spans="1:9" ht="15.75" hidden="1" thickBot="1">
      <c r="A129" s="72">
        <f t="shared" si="23"/>
        <v>2015</v>
      </c>
      <c r="B129" s="73" t="s">
        <v>13</v>
      </c>
      <c r="C129" s="162">
        <f>126.9*1.0101</f>
        <v>128.18169</v>
      </c>
      <c r="D129" s="162">
        <v>150.1</v>
      </c>
      <c r="E129" s="162">
        <f>E128*(1+(((SUM(E$112:E$123)-SUM(E$100:E$111))/SUM(E$100:E$111))/12))</f>
        <v>131.56710611258526</v>
      </c>
      <c r="F129" s="199">
        <f>+F$121*(106/103.3)</f>
        <v>101.48499515972897</v>
      </c>
      <c r="G129" s="163">
        <v>0.76</v>
      </c>
      <c r="H129" s="137">
        <f t="shared" si="22"/>
        <v>108.16294508673766</v>
      </c>
      <c r="I129" s="13"/>
    </row>
    <row r="130" spans="1:8" ht="15" hidden="1">
      <c r="A130" s="32">
        <f t="shared" si="23"/>
        <v>2015</v>
      </c>
      <c r="B130" s="33" t="s">
        <v>31</v>
      </c>
      <c r="C130" s="157">
        <f>127.2*1.0101</f>
        <v>128.48472</v>
      </c>
      <c r="D130" s="157">
        <v>151.5</v>
      </c>
      <c r="E130" s="157">
        <f>E129*(1+(((SUM(E$112:E$123)-SUM(E$100:E$111))/SUM(E$100:E$111))/12))</f>
        <v>131.6342464702682</v>
      </c>
      <c r="F130" s="198">
        <f>+F$121*(106/103.3)</f>
        <v>101.48499515972897</v>
      </c>
      <c r="G130" s="159">
        <v>0.99</v>
      </c>
      <c r="H130" s="66">
        <f t="shared" si="22"/>
        <v>108.79099023339268</v>
      </c>
    </row>
    <row r="131" spans="1:9" ht="15" hidden="1">
      <c r="A131" s="32">
        <f t="shared" si="23"/>
        <v>2015</v>
      </c>
      <c r="B131" s="33" t="s">
        <v>14</v>
      </c>
      <c r="C131" s="157">
        <f>127.2*1.0101</f>
        <v>128.48472</v>
      </c>
      <c r="D131" s="157">
        <v>150.3</v>
      </c>
      <c r="E131" s="157">
        <v>131.6</v>
      </c>
      <c r="F131" s="198">
        <f>+F$121*(106.2/103.3)</f>
        <v>101.67647628267183</v>
      </c>
      <c r="G131" s="159">
        <v>1.11</v>
      </c>
      <c r="H131" s="66">
        <f t="shared" si="22"/>
        <v>108.81445242973098</v>
      </c>
      <c r="I131" s="13"/>
    </row>
    <row r="132" spans="1:9" ht="15" hidden="1">
      <c r="A132" s="63">
        <f t="shared" si="23"/>
        <v>2015</v>
      </c>
      <c r="B132" s="64" t="s">
        <v>15</v>
      </c>
      <c r="C132" s="160">
        <f>127.2*1.0101</f>
        <v>128.48472</v>
      </c>
      <c r="D132" s="160">
        <v>147.2</v>
      </c>
      <c r="E132" s="160">
        <v>131.5</v>
      </c>
      <c r="F132" s="200">
        <f>+F$121*(106.3/103.3)</f>
        <v>101.77221684414327</v>
      </c>
      <c r="G132" s="161">
        <v>1</v>
      </c>
      <c r="H132" s="181">
        <f t="shared" si="22"/>
        <v>108.30898762031161</v>
      </c>
      <c r="I132" s="13"/>
    </row>
    <row r="133" spans="1:9" ht="15" hidden="1">
      <c r="A133" s="70">
        <f t="shared" si="23"/>
        <v>2015</v>
      </c>
      <c r="B133" s="187" t="s">
        <v>16</v>
      </c>
      <c r="C133" s="157">
        <f>127.8*1.0101</f>
        <v>129.09078</v>
      </c>
      <c r="D133" s="157">
        <v>141.7</v>
      </c>
      <c r="E133" s="157">
        <v>131.1</v>
      </c>
      <c r="F133" s="198">
        <f>+F$121*(106.5/103.3)</f>
        <v>101.96369796708616</v>
      </c>
      <c r="G133" s="159">
        <v>1.07</v>
      </c>
      <c r="H133" s="66">
        <f t="shared" si="22"/>
        <v>108.06715817417275</v>
      </c>
      <c r="I133" s="13"/>
    </row>
    <row r="134" spans="1:9" ht="15" hidden="1">
      <c r="A134" s="32">
        <f t="shared" si="23"/>
        <v>2015</v>
      </c>
      <c r="B134" s="33" t="s">
        <v>17</v>
      </c>
      <c r="C134" s="157">
        <f>127.8*1.0101</f>
        <v>129.09078</v>
      </c>
      <c r="D134" s="157">
        <v>139.3</v>
      </c>
      <c r="E134" s="157">
        <v>131.4</v>
      </c>
      <c r="F134" s="198">
        <f>+F$121*(106.5/103.3)</f>
        <v>101.96369796708616</v>
      </c>
      <c r="G134" s="159">
        <v>1.12</v>
      </c>
      <c r="H134" s="66">
        <f t="shared" si="22"/>
        <v>107.86511619099869</v>
      </c>
      <c r="I134" s="13"/>
    </row>
    <row r="135" spans="1:9" ht="15.75" hidden="1" thickBot="1">
      <c r="A135" s="72">
        <f t="shared" si="23"/>
        <v>2015</v>
      </c>
      <c r="B135" s="73" t="s">
        <v>18</v>
      </c>
      <c r="C135" s="162">
        <f>127.8*1.0101</f>
        <v>129.09078</v>
      </c>
      <c r="D135" s="162">
        <v>139.8</v>
      </c>
      <c r="E135" s="162">
        <v>131.4</v>
      </c>
      <c r="F135" s="199">
        <f>+F$121*(106.7/103.3)</f>
        <v>102.15517909002905</v>
      </c>
      <c r="G135" s="163">
        <v>1.08</v>
      </c>
      <c r="H135" s="137">
        <f>100+((C135-$C$40)/$C$40*100*$C$2)+((D135-$D$40)/$D$40*100*$D$2)+((E135-$E$40)/$E$40*100*$E$2)+((F135-$F$40)/$F$40*100*$F$2)+((G135-$G$40)/$G$40*100*$G$2)</f>
        <v>107.89207352797142</v>
      </c>
      <c r="I135" s="13"/>
    </row>
    <row r="136" spans="1:9" ht="15" hidden="1">
      <c r="A136" s="74">
        <v>2016</v>
      </c>
      <c r="B136" s="187" t="s">
        <v>8</v>
      </c>
      <c r="C136" s="157">
        <f>128.2*1.0101</f>
        <v>129.49481999999998</v>
      </c>
      <c r="D136" s="157">
        <v>138.5</v>
      </c>
      <c r="E136" s="157">
        <v>131</v>
      </c>
      <c r="F136" s="198">
        <f>+F$121*(106.8/103.3)</f>
        <v>102.25091965150048</v>
      </c>
      <c r="G136" s="159">
        <v>1.03</v>
      </c>
      <c r="H136" s="66">
        <f t="shared" si="22"/>
        <v>107.87881342950875</v>
      </c>
      <c r="I136" s="13"/>
    </row>
    <row r="137" spans="1:8" ht="15" hidden="1">
      <c r="A137" s="32">
        <f>A136</f>
        <v>2016</v>
      </c>
      <c r="B137" s="33" t="s">
        <v>9</v>
      </c>
      <c r="C137" s="157">
        <f>128.2*1.0101</f>
        <v>129.49481999999998</v>
      </c>
      <c r="D137" s="157">
        <v>130.4</v>
      </c>
      <c r="E137" s="157">
        <f>E136*(1+(((SUM(E$124:E$135)-SUM(E$112:E$123))/SUM(E$112:E$123))/12))</f>
        <v>131.04950389465483</v>
      </c>
      <c r="F137" s="198">
        <f>+F$121*(106.8/103.3)</f>
        <v>102.25091965150048</v>
      </c>
      <c r="G137" s="159">
        <v>1.09</v>
      </c>
      <c r="H137" s="66">
        <f t="shared" si="22"/>
        <v>106.99342825452445</v>
      </c>
    </row>
    <row r="138" spans="1:10" ht="15" hidden="1">
      <c r="A138" s="63">
        <f aca="true" t="shared" si="24" ref="A138:A147">A137</f>
        <v>2016</v>
      </c>
      <c r="B138" s="64" t="s">
        <v>10</v>
      </c>
      <c r="C138" s="160">
        <f>128.2*1.0101</f>
        <v>129.49481999999998</v>
      </c>
      <c r="D138" s="202">
        <f>130.4/90.3*87</f>
        <v>125.63455149501662</v>
      </c>
      <c r="E138" s="202">
        <f>131/99.8*99.4</f>
        <v>130.4749498997996</v>
      </c>
      <c r="F138" s="200">
        <f>+F$121*(106.9/103.3)</f>
        <v>102.34666021297194</v>
      </c>
      <c r="G138" s="161">
        <f>+G137</f>
        <v>1.09</v>
      </c>
      <c r="H138" s="181">
        <f t="shared" si="22"/>
        <v>106.39519100504542</v>
      </c>
      <c r="I138" s="13"/>
      <c r="J138" s="203" t="s">
        <v>70</v>
      </c>
    </row>
    <row r="139" spans="1:9" ht="15" hidden="1">
      <c r="A139" s="70">
        <f t="shared" si="24"/>
        <v>2016</v>
      </c>
      <c r="B139" s="187" t="s">
        <v>11</v>
      </c>
      <c r="C139" s="157">
        <f>128.7*1.0101</f>
        <v>129.99987</v>
      </c>
      <c r="D139" s="217">
        <f>130.4/90.3*85.6</f>
        <v>123.61284606866002</v>
      </c>
      <c r="E139" s="217">
        <f>131/99.8*100.1</f>
        <v>131.3937875751503</v>
      </c>
      <c r="F139" s="198">
        <f>+F$121*(106.9/103.3)</f>
        <v>102.34666021297194</v>
      </c>
      <c r="G139" s="159">
        <v>0.96</v>
      </c>
      <c r="H139" s="66">
        <f t="shared" si="22"/>
        <v>106.33366536060261</v>
      </c>
      <c r="I139" s="13"/>
    </row>
    <row r="140" spans="1:8" ht="15" hidden="1">
      <c r="A140" s="32">
        <f t="shared" si="24"/>
        <v>2016</v>
      </c>
      <c r="B140" s="33" t="s">
        <v>12</v>
      </c>
      <c r="C140" s="157">
        <f>128.7*1.0101</f>
        <v>129.99987</v>
      </c>
      <c r="D140" s="217">
        <f>130.4/90.3*90.2</f>
        <v>130.25559246954597</v>
      </c>
      <c r="E140" s="217">
        <f>131/99.8*100.2</f>
        <v>131.52505010020042</v>
      </c>
      <c r="F140" s="198">
        <f>+F$121*(107/103.3)</f>
        <v>102.44240077444337</v>
      </c>
      <c r="G140" s="159">
        <v>0.85</v>
      </c>
      <c r="H140" s="66">
        <f t="shared" si="22"/>
        <v>107.00406949674672</v>
      </c>
    </row>
    <row r="141" spans="1:8" ht="15.75" hidden="1" thickBot="1">
      <c r="A141" s="72">
        <f t="shared" si="24"/>
        <v>2016</v>
      </c>
      <c r="B141" s="73" t="s">
        <v>13</v>
      </c>
      <c r="C141" s="162">
        <f>128.7*1.0101</f>
        <v>129.99987</v>
      </c>
      <c r="D141" s="218">
        <f>130.4/90.3*89.7</f>
        <v>129.53355481727576</v>
      </c>
      <c r="E141" s="218">
        <f>131/99.8*100.3</f>
        <v>131.6563126252505</v>
      </c>
      <c r="F141" s="199">
        <f>+F$121*(106.8/103.3)</f>
        <v>102.25091965150048</v>
      </c>
      <c r="G141" s="163">
        <v>0.87</v>
      </c>
      <c r="H141" s="137">
        <f t="shared" si="22"/>
        <v>106.93461364985474</v>
      </c>
    </row>
    <row r="142" spans="1:8" ht="15" hidden="1">
      <c r="A142" s="32">
        <f t="shared" si="24"/>
        <v>2016</v>
      </c>
      <c r="B142" s="33" t="s">
        <v>31</v>
      </c>
      <c r="C142" s="157">
        <f>129.4*1.0101</f>
        <v>130.70694</v>
      </c>
      <c r="D142" s="217">
        <f>130.4/90.3*92.2</f>
        <v>133.1437430786268</v>
      </c>
      <c r="E142" s="217">
        <f>131/99.8*100.5</f>
        <v>131.91883767535072</v>
      </c>
      <c r="F142" s="198">
        <f>+F$121*(106.7/103.3)</f>
        <v>102.15517909002905</v>
      </c>
      <c r="G142" s="159">
        <v>0.83</v>
      </c>
      <c r="H142" s="66">
        <f t="shared" si="22"/>
        <v>107.71403946693806</v>
      </c>
    </row>
    <row r="143" spans="1:9" ht="15" hidden="1">
      <c r="A143" s="32">
        <f t="shared" si="24"/>
        <v>2016</v>
      </c>
      <c r="B143" s="33" t="s">
        <v>14</v>
      </c>
      <c r="C143" s="157">
        <f>129.4*1.0101</f>
        <v>130.70694</v>
      </c>
      <c r="D143" s="217">
        <f>130.4/90.3*95.9</f>
        <v>138.48682170542637</v>
      </c>
      <c r="E143" s="217">
        <f>131/99.8*100.6</f>
        <v>132.0501002004008</v>
      </c>
      <c r="F143" s="198">
        <f>+F$121*(107/103.3)</f>
        <v>102.44240077444337</v>
      </c>
      <c r="G143" s="159">
        <v>0.6</v>
      </c>
      <c r="H143" s="66">
        <f t="shared" si="22"/>
        <v>108.09652584565558</v>
      </c>
      <c r="I143" s="13"/>
    </row>
    <row r="144" spans="1:10" ht="15" hidden="1">
      <c r="A144" s="63">
        <f t="shared" si="24"/>
        <v>2016</v>
      </c>
      <c r="B144" s="64" t="s">
        <v>15</v>
      </c>
      <c r="C144" s="160">
        <f>129.4*1.0101</f>
        <v>130.70694</v>
      </c>
      <c r="D144" s="202">
        <f>130.4/90.3*93.1</f>
        <v>134.44341085271319</v>
      </c>
      <c r="E144" s="202">
        <f>131/99.8*100.5</f>
        <v>131.91883767535072</v>
      </c>
      <c r="F144" s="200">
        <f>+F$121*(107.2/103.3)</f>
        <v>102.63388189738627</v>
      </c>
      <c r="G144" s="161">
        <v>0.63</v>
      </c>
      <c r="H144" s="181">
        <f t="shared" si="22"/>
        <v>107.66155947609626</v>
      </c>
      <c r="J144" s="13"/>
    </row>
    <row r="145" spans="1:9" ht="15" hidden="1">
      <c r="A145" s="70">
        <f t="shared" si="24"/>
        <v>2016</v>
      </c>
      <c r="B145" s="187" t="s">
        <v>16</v>
      </c>
      <c r="C145" s="157">
        <f>130*1.0101</f>
        <v>131.313</v>
      </c>
      <c r="D145" s="217">
        <f>130.4/90.3*91.1</f>
        <v>131.55526024363235</v>
      </c>
      <c r="E145" s="217">
        <f>131/99.8*100.2</f>
        <v>131.52505010020042</v>
      </c>
      <c r="F145" s="198">
        <f>+F$121*(107.1/103.3)</f>
        <v>102.53814133591482</v>
      </c>
      <c r="G145" s="159">
        <v>0.64</v>
      </c>
      <c r="H145" s="66">
        <f t="shared" si="22"/>
        <v>107.62900109168257</v>
      </c>
      <c r="I145" s="13"/>
    </row>
    <row r="146" spans="1:8" ht="15" hidden="1">
      <c r="A146" s="70">
        <f t="shared" si="24"/>
        <v>2016</v>
      </c>
      <c r="B146" s="33" t="s">
        <v>17</v>
      </c>
      <c r="C146" s="157">
        <f>130*1.0101</f>
        <v>131.313</v>
      </c>
      <c r="D146" s="217">
        <f>130.4/90.3*93.8</f>
        <v>135.45426356589147</v>
      </c>
      <c r="E146" s="217">
        <f>131/99.8*100.2</f>
        <v>131.52505010020042</v>
      </c>
      <c r="F146" s="198">
        <f>+F$121*(107.2/103.3)</f>
        <v>102.63388189738627</v>
      </c>
      <c r="G146" s="159">
        <v>0.56</v>
      </c>
      <c r="H146" s="66">
        <f t="shared" si="22"/>
        <v>108.00141321946754</v>
      </c>
    </row>
    <row r="147" spans="1:17" ht="15.75" hidden="1" thickBot="1">
      <c r="A147" s="70">
        <f t="shared" si="24"/>
        <v>2016</v>
      </c>
      <c r="B147" s="73" t="s">
        <v>18</v>
      </c>
      <c r="C147" s="162">
        <f>130*1.0101</f>
        <v>131.313</v>
      </c>
      <c r="D147" s="218">
        <f>130.4/90.3*97.5</f>
        <v>140.79734219269105</v>
      </c>
      <c r="E147" s="218">
        <f>131/99.8*100.4</f>
        <v>131.78757515030063</v>
      </c>
      <c r="F147" s="199">
        <f>+F$121*(107.2/103.3)</f>
        <v>102.63388189738627</v>
      </c>
      <c r="G147" s="163">
        <v>0.77</v>
      </c>
      <c r="H147" s="137">
        <f t="shared" si="22"/>
        <v>108.91982850502217</v>
      </c>
      <c r="K147" s="33"/>
      <c r="L147" s="157"/>
      <c r="M147" s="157"/>
      <c r="N147" s="157"/>
      <c r="O147" s="220"/>
      <c r="P147" s="159"/>
      <c r="Q147" s="66"/>
    </row>
    <row r="148" spans="1:8" ht="15" hidden="1">
      <c r="A148" s="74">
        <v>2017</v>
      </c>
      <c r="B148" s="187" t="s">
        <v>8</v>
      </c>
      <c r="C148" s="157">
        <f>130.5*1.0101</f>
        <v>131.81805</v>
      </c>
      <c r="D148" s="217">
        <f>130.4/90.3*95.3</f>
        <v>137.62037652270212</v>
      </c>
      <c r="E148" s="217">
        <f>131/99.8*100.3</f>
        <v>131.6563126252505</v>
      </c>
      <c r="F148" s="198">
        <f>+F$121*(107.2/103.3)</f>
        <v>102.63388189738627</v>
      </c>
      <c r="G148" s="159">
        <v>0.78</v>
      </c>
      <c r="H148" s="66">
        <f>100+((C148-$C$40)/$C$40*100*$C$2)+((D148-$D$40)/$D$40*100*$D$2)+((E148-$E$40)/$E$40*100*$E$2)+((F148-$F$40)/$F$40*100*$F$2)+((G148-$G$40)/$G$40*100*$G$2)</f>
        <v>108.82413829511057</v>
      </c>
    </row>
    <row r="149" spans="1:8" ht="15" customHeight="1" hidden="1">
      <c r="A149" s="32">
        <f>A148</f>
        <v>2017</v>
      </c>
      <c r="B149" s="33" t="s">
        <v>9</v>
      </c>
      <c r="C149" s="157">
        <f>C146*(1+(((SUM(C$136:C$147)-SUM(C$124:C$135))/SUM(C$124:C$135))/4))</f>
        <v>131.82815814722545</v>
      </c>
      <c r="D149" s="217">
        <f>130.4/90.3*100.4</f>
        <v>144.98516057585826</v>
      </c>
      <c r="E149" s="217">
        <f>131/99.8*100.3</f>
        <v>131.6563126252505</v>
      </c>
      <c r="F149" s="198">
        <f>+F$121*(107.1/103.3)</f>
        <v>102.53814133591482</v>
      </c>
      <c r="G149" s="159">
        <v>0.73</v>
      </c>
      <c r="H149" s="66">
        <f aca="true" t="shared" si="25" ref="H149:H159">100+((C149-$C$40)/$C$40*100*$C$2)+((D149-$D$40)/$D$40*100*$D$2)+((E149-$E$40)/$E$40*100*$E$2)+((F149-$F$40)/$F$40*100*$F$2)+((G149-$G$40)/$G$40*100*$G$2)</f>
        <v>109.63471583497558</v>
      </c>
    </row>
    <row r="150" spans="1:8" ht="15" customHeight="1" hidden="1">
      <c r="A150" s="63">
        <f aca="true" t="shared" si="26" ref="A150:A159">A149</f>
        <v>2017</v>
      </c>
      <c r="B150" s="64" t="s">
        <v>10</v>
      </c>
      <c r="C150" s="160">
        <f>C147*(1+(((SUM(C$136:C$147)-SUM(C$124:C$135))/SUM(C$124:C$135))/4))</f>
        <v>131.82815814722545</v>
      </c>
      <c r="D150" s="202">
        <f>130.4/90.3*102.6</f>
        <v>148.16212624584716</v>
      </c>
      <c r="E150" s="202">
        <f>131/99.8*100.3</f>
        <v>131.6563126252505</v>
      </c>
      <c r="F150" s="200">
        <f>+F$121*(107.4/103.3)</f>
        <v>102.82536302032916</v>
      </c>
      <c r="G150" s="161">
        <v>0.84</v>
      </c>
      <c r="H150" s="181">
        <f t="shared" si="25"/>
        <v>110.17791280294462</v>
      </c>
    </row>
    <row r="151" spans="1:17" ht="15" customHeight="1" hidden="1">
      <c r="A151" s="70">
        <f t="shared" si="26"/>
        <v>2017</v>
      </c>
      <c r="B151" s="187" t="s">
        <v>11</v>
      </c>
      <c r="C151" s="157">
        <f>131.1*1.0101</f>
        <v>132.42410999999998</v>
      </c>
      <c r="D151" s="217">
        <f>130.4/90.3*100.7</f>
        <v>145.41838316722038</v>
      </c>
      <c r="E151" s="217">
        <f>131/99.8*101.1</f>
        <v>132.7064128256513</v>
      </c>
      <c r="F151" s="198">
        <f>+F$121*(107.5/103.3)</f>
        <v>102.9211035818006</v>
      </c>
      <c r="G151" s="159">
        <v>0.78</v>
      </c>
      <c r="H151" s="66">
        <f t="shared" si="25"/>
        <v>110.18666840076489</v>
      </c>
      <c r="K151" s="33"/>
      <c r="L151" s="66"/>
      <c r="M151" s="66"/>
      <c r="N151" s="66"/>
      <c r="O151" s="66"/>
      <c r="P151" s="66"/>
      <c r="Q151" s="66"/>
    </row>
    <row r="152" spans="1:8" ht="15" customHeight="1" hidden="1">
      <c r="A152" s="32">
        <f t="shared" si="26"/>
        <v>2017</v>
      </c>
      <c r="B152" s="33" t="s">
        <v>12</v>
      </c>
      <c r="C152" s="157">
        <f>131.1*1.0101</f>
        <v>132.42410999999998</v>
      </c>
      <c r="D152" s="217">
        <f>130.4/90.3*99.1</f>
        <v>143.1078626799557</v>
      </c>
      <c r="E152" s="217">
        <f>131/99.8*101.2</f>
        <v>132.8376753507014</v>
      </c>
      <c r="F152" s="198">
        <f>+F$121*(107.9/103.3)</f>
        <v>103.30406582768636</v>
      </c>
      <c r="G152" s="159">
        <v>0.67</v>
      </c>
      <c r="H152" s="66">
        <f t="shared" si="25"/>
        <v>109.81782942046338</v>
      </c>
    </row>
    <row r="153" spans="1:10" ht="15" customHeight="1" hidden="1" thickBot="1">
      <c r="A153" s="72">
        <f t="shared" si="26"/>
        <v>2017</v>
      </c>
      <c r="B153" s="73" t="s">
        <v>13</v>
      </c>
      <c r="C153" s="162">
        <f>131.1*1.0101</f>
        <v>132.42410999999998</v>
      </c>
      <c r="D153" s="218">
        <f>130.4/90.3*100.9</f>
        <v>145.70719822812848</v>
      </c>
      <c r="E153" s="218">
        <f>131/99.8*101.4</f>
        <v>133.1002004008016</v>
      </c>
      <c r="F153" s="199">
        <f>+F$121*(107.7/103.3)</f>
        <v>103.11258470474348</v>
      </c>
      <c r="G153" s="163">
        <v>0.75</v>
      </c>
      <c r="H153" s="137">
        <f t="shared" si="25"/>
        <v>110.22833861979277</v>
      </c>
      <c r="J153" s="6"/>
    </row>
    <row r="154" spans="1:17" ht="15" customHeight="1" hidden="1">
      <c r="A154" s="32">
        <f t="shared" si="26"/>
        <v>2017</v>
      </c>
      <c r="B154" s="33" t="s">
        <v>31</v>
      </c>
      <c r="C154" s="157">
        <f>131.4*1.0101</f>
        <v>132.72714</v>
      </c>
      <c r="D154" s="217">
        <f>130.4/90.3*97.2</f>
        <v>140.36411960132892</v>
      </c>
      <c r="E154" s="217">
        <f>131/99.8*101.3</f>
        <v>132.96893787575152</v>
      </c>
      <c r="F154" s="198">
        <f>+F$121*(107.7/103.3)</f>
        <v>103.11258470474348</v>
      </c>
      <c r="G154" s="159">
        <f>+G153</f>
        <v>0.75</v>
      </c>
      <c r="H154" s="66">
        <f t="shared" si="25"/>
        <v>109.75058594376397</v>
      </c>
      <c r="K154" s="33"/>
      <c r="L154" s="66"/>
      <c r="M154" s="66"/>
      <c r="N154" s="66"/>
      <c r="O154" s="66"/>
      <c r="P154" s="66"/>
      <c r="Q154" s="66"/>
    </row>
    <row r="155" spans="1:8" ht="15" customHeight="1" hidden="1">
      <c r="A155" s="32">
        <f t="shared" si="26"/>
        <v>2017</v>
      </c>
      <c r="B155" s="33" t="s">
        <v>14</v>
      </c>
      <c r="C155" s="157">
        <f>131.4*1.0101</f>
        <v>132.72714</v>
      </c>
      <c r="D155" s="217">
        <f>130.4/90.3*94.3</f>
        <v>136.17630121816168</v>
      </c>
      <c r="E155" s="217">
        <f>131/99.8*101.2</f>
        <v>132.8376753507014</v>
      </c>
      <c r="F155" s="198">
        <f>+F$121*(107.9/103.3)</f>
        <v>103.30406582768636</v>
      </c>
      <c r="G155" s="159">
        <v>0.66</v>
      </c>
      <c r="H155" s="66">
        <f t="shared" si="25"/>
        <v>109.14748480530514</v>
      </c>
    </row>
    <row r="156" spans="1:8" ht="15" customHeight="1" hidden="1">
      <c r="A156" s="63">
        <f t="shared" si="26"/>
        <v>2017</v>
      </c>
      <c r="B156" s="64" t="s">
        <v>15</v>
      </c>
      <c r="C156" s="160">
        <f>131.4*1.0101</f>
        <v>132.72714</v>
      </c>
      <c r="D156" s="202">
        <f>130.4/90.3*94.3</f>
        <v>136.17630121816168</v>
      </c>
      <c r="E156" s="202">
        <f>131/99.8*102</f>
        <v>133.8877755511022</v>
      </c>
      <c r="F156" s="200">
        <f>+F$121*(108.4/103.3)</f>
        <v>103.78276863504357</v>
      </c>
      <c r="G156" s="161">
        <v>0.63</v>
      </c>
      <c r="H156" s="181">
        <f t="shared" si="25"/>
        <v>109.22685315140764</v>
      </c>
    </row>
    <row r="157" spans="1:17" ht="15.75" customHeight="1" hidden="1">
      <c r="A157" s="70">
        <f t="shared" si="26"/>
        <v>2017</v>
      </c>
      <c r="B157" s="187" t="s">
        <v>16</v>
      </c>
      <c r="C157" s="157">
        <f>132.2*1.0101</f>
        <v>133.53521999999998</v>
      </c>
      <c r="D157" s="217">
        <f>130.4/90.3*94.4</f>
        <v>136.32070874861574</v>
      </c>
      <c r="E157" s="217">
        <f>131/99.8*101.7</f>
        <v>133.4939879759519</v>
      </c>
      <c r="F157" s="198">
        <f>+F$121*(108.3/103.3)</f>
        <v>103.68702807357212</v>
      </c>
      <c r="G157" s="159">
        <v>0.57</v>
      </c>
      <c r="H157" s="66">
        <f t="shared" si="25"/>
        <v>109.57887653833217</v>
      </c>
      <c r="J157" s="32"/>
      <c r="K157" s="33"/>
      <c r="L157" s="66"/>
      <c r="M157" s="66"/>
      <c r="N157" s="66"/>
      <c r="O157" s="66"/>
      <c r="P157" s="66"/>
      <c r="Q157" s="66"/>
    </row>
    <row r="158" spans="1:8" ht="15" hidden="1">
      <c r="A158" s="32">
        <f t="shared" si="26"/>
        <v>2017</v>
      </c>
      <c r="B158" s="33" t="s">
        <v>17</v>
      </c>
      <c r="C158" s="157">
        <f>132.2*1.0101</f>
        <v>133.53521999999998</v>
      </c>
      <c r="D158" s="217">
        <f>130.4/90.3*97.4</f>
        <v>140.65293466223702</v>
      </c>
      <c r="E158" s="217">
        <f>131/99.8*101.8</f>
        <v>133.625250501002</v>
      </c>
      <c r="F158" s="198">
        <f>+F$121*(108.1/103.3)</f>
        <v>103.49554695062925</v>
      </c>
      <c r="G158" s="159">
        <v>0.52</v>
      </c>
      <c r="H158" s="66">
        <f t="shared" si="25"/>
        <v>110.02306842053328</v>
      </c>
    </row>
    <row r="159" spans="1:10" ht="15.75" hidden="1" thickBot="1">
      <c r="A159" s="72">
        <f t="shared" si="26"/>
        <v>2017</v>
      </c>
      <c r="B159" s="73" t="s">
        <v>18</v>
      </c>
      <c r="C159" s="162">
        <f>132.2*1.0101</f>
        <v>133.53521999999998</v>
      </c>
      <c r="D159" s="218">
        <f>130.4/90.3*99.5</f>
        <v>143.6854928017719</v>
      </c>
      <c r="E159" s="218">
        <f>131/99.8*101.9</f>
        <v>133.75651302605212</v>
      </c>
      <c r="F159" s="199">
        <f>+F$121*(108.5/103.3)</f>
        <v>103.87850919651501</v>
      </c>
      <c r="G159" s="163">
        <v>0.63</v>
      </c>
      <c r="H159" s="137">
        <f t="shared" si="25"/>
        <v>110.56703978888491</v>
      </c>
      <c r="I159" s="13"/>
      <c r="J159" s="13"/>
    </row>
    <row r="160" spans="1:11" ht="15" hidden="1">
      <c r="A160" s="74">
        <v>2018</v>
      </c>
      <c r="B160" s="187" t="s">
        <v>8</v>
      </c>
      <c r="C160" s="157">
        <f>132.9*1.0101</f>
        <v>134.24229</v>
      </c>
      <c r="D160" s="217">
        <f>130.4/90.3*99.7</f>
        <v>143.97430786267998</v>
      </c>
      <c r="E160" s="217">
        <f>131/99.8*101.6</f>
        <v>133.3627254509018</v>
      </c>
      <c r="F160" s="198">
        <f>+F$121*(108.7/103.3)</f>
        <v>104.0699903194579</v>
      </c>
      <c r="G160" s="159">
        <v>0.67</v>
      </c>
      <c r="H160" s="66">
        <f aca="true" t="shared" si="27" ref="H160:H171">100+((C160-$C$40)/$C$40*100*$C$2)+((D160-$D$40)/$D$40*100*$D$2)+((E160-$E$40)/$E$40*100*$E$2)+((F160-$F$40)/$F$40*100*$F$2)+((G160-$G$40)/$G$40*100*$G$2)</f>
        <v>111.03285607145689</v>
      </c>
      <c r="J160" s="187"/>
      <c r="K160" s="157"/>
    </row>
    <row r="161" spans="1:17" ht="15" hidden="1">
      <c r="A161" s="32">
        <f>A160</f>
        <v>2018</v>
      </c>
      <c r="B161" s="33" t="s">
        <v>9</v>
      </c>
      <c r="C161" s="157">
        <f>132.9*1.0101</f>
        <v>134.24229</v>
      </c>
      <c r="D161" s="217">
        <f>130.4/90.3*101.2</f>
        <v>146.1404208194906</v>
      </c>
      <c r="E161" s="217">
        <f>131/99.8*101.3</f>
        <v>132.96893787575152</v>
      </c>
      <c r="F161" s="198">
        <f>+F$121*(108.3/103.3)</f>
        <v>103.68702807357212</v>
      </c>
      <c r="G161" s="159">
        <v>0.61</v>
      </c>
      <c r="H161" s="66">
        <f t="shared" si="27"/>
        <v>111.15248364784418</v>
      </c>
      <c r="J161" s="32"/>
      <c r="K161" s="33"/>
      <c r="L161" s="66"/>
      <c r="M161" s="66"/>
      <c r="N161" s="66"/>
      <c r="O161" s="66"/>
      <c r="P161" s="66"/>
      <c r="Q161" s="66"/>
    </row>
    <row r="162" spans="1:8" ht="15" hidden="1">
      <c r="A162" s="63">
        <f aca="true" t="shared" si="28" ref="A162:A171">A161</f>
        <v>2018</v>
      </c>
      <c r="B162" s="64" t="s">
        <v>10</v>
      </c>
      <c r="C162" s="160">
        <f>132.9*1.0101</f>
        <v>134.24229</v>
      </c>
      <c r="D162" s="202">
        <f>130.4/90.3*102.2</f>
        <v>147.584496124031</v>
      </c>
      <c r="E162" s="202">
        <f>131/99.8*101</f>
        <v>132.57515030060122</v>
      </c>
      <c r="F162" s="200">
        <f>+F$121*(108.9/103.3)</f>
        <v>104.26147144240079</v>
      </c>
      <c r="G162" s="161">
        <v>0.81</v>
      </c>
      <c r="H162" s="181">
        <f t="shared" si="27"/>
        <v>111.60193835031187</v>
      </c>
    </row>
    <row r="163" spans="1:8" ht="15" hidden="1">
      <c r="A163" s="70">
        <f t="shared" si="28"/>
        <v>2018</v>
      </c>
      <c r="B163" s="187" t="s">
        <v>11</v>
      </c>
      <c r="C163" s="157">
        <f>133.4*1.0101</f>
        <v>134.74734</v>
      </c>
      <c r="D163" s="217">
        <f>130.4/90.3*99.7</f>
        <v>143.97430786267998</v>
      </c>
      <c r="E163" s="217">
        <f>131/99.8*101.7</f>
        <v>133.4939879759519</v>
      </c>
      <c r="F163" s="198">
        <f>+F$121*(109/103.3)</f>
        <v>104.35721200387222</v>
      </c>
      <c r="G163" s="159">
        <v>0.77</v>
      </c>
      <c r="H163" s="66">
        <f t="shared" si="27"/>
        <v>111.47338915006364</v>
      </c>
    </row>
    <row r="164" spans="1:8" ht="15" hidden="1">
      <c r="A164" s="32">
        <f t="shared" si="28"/>
        <v>2018</v>
      </c>
      <c r="B164" s="33" t="s">
        <v>12</v>
      </c>
      <c r="C164" s="157">
        <f>133.4*1.0101</f>
        <v>134.74734</v>
      </c>
      <c r="D164" s="217">
        <f>130.4/90.3*100.8</f>
        <v>145.56279069767442</v>
      </c>
      <c r="E164" s="217">
        <f>131/99.8*101.7</f>
        <v>133.4939879759519</v>
      </c>
      <c r="F164" s="198">
        <f>+F$121*(109/103.3)</f>
        <v>104.35721200387222</v>
      </c>
      <c r="G164" s="159">
        <v>0.62</v>
      </c>
      <c r="H164" s="66">
        <f t="shared" si="27"/>
        <v>111.47381500418471</v>
      </c>
    </row>
    <row r="165" spans="1:9" ht="15.75" hidden="1" thickBot="1">
      <c r="A165" s="72">
        <f t="shared" si="28"/>
        <v>2018</v>
      </c>
      <c r="B165" s="73" t="s">
        <v>13</v>
      </c>
      <c r="C165" s="162">
        <f>133.4*1.0101</f>
        <v>134.74734</v>
      </c>
      <c r="D165" s="218">
        <f>130.4/90.3*103.8</f>
        <v>149.8950166112957</v>
      </c>
      <c r="E165" s="218">
        <f>131/99.8*102.2</f>
        <v>134.15030060120242</v>
      </c>
      <c r="F165" s="199">
        <f>+F$121*(109.1/103.3)</f>
        <v>104.45295256534367</v>
      </c>
      <c r="G165" s="163">
        <v>0.76</v>
      </c>
      <c r="H165" s="137">
        <f t="shared" si="27"/>
        <v>112.21998969287162</v>
      </c>
      <c r="I165" s="6"/>
    </row>
    <row r="166" spans="1:17" ht="15" hidden="1">
      <c r="A166" s="32">
        <f t="shared" si="28"/>
        <v>2018</v>
      </c>
      <c r="B166" s="33" t="s">
        <v>31</v>
      </c>
      <c r="C166" s="157">
        <f>134*1.0101</f>
        <v>135.3534</v>
      </c>
      <c r="D166" s="217">
        <f>130.4/90.3*110.6</f>
        <v>159.71472868217054</v>
      </c>
      <c r="E166" s="217">
        <f>131/99.8*102.4</f>
        <v>134.41282565130263</v>
      </c>
      <c r="F166" s="198">
        <f>+F$121*(109.2/103.3)</f>
        <v>104.54869312681511</v>
      </c>
      <c r="G166" s="159">
        <v>0.6</v>
      </c>
      <c r="H166" s="66">
        <f t="shared" si="27"/>
        <v>113.54964250169532</v>
      </c>
      <c r="J166" s="32"/>
      <c r="K166" s="33"/>
      <c r="L166" s="66"/>
      <c r="M166" s="66"/>
      <c r="N166" s="66"/>
      <c r="O166" s="66"/>
      <c r="P166" s="66"/>
      <c r="Q166" s="66"/>
    </row>
    <row r="167" spans="1:8" ht="15" hidden="1">
      <c r="A167" s="32">
        <f t="shared" si="28"/>
        <v>2018</v>
      </c>
      <c r="B167" s="33" t="s">
        <v>14</v>
      </c>
      <c r="C167" s="157">
        <f>134*1.0101</f>
        <v>135.3534</v>
      </c>
      <c r="D167" s="217">
        <f>130.4/90.3*110.3</f>
        <v>159.28150609080842</v>
      </c>
      <c r="E167" s="217">
        <f>131/99.8*102.3</f>
        <v>134.2815631262525</v>
      </c>
      <c r="F167" s="198">
        <f>+F$121*(108.2/103.3)</f>
        <v>103.59128751210068</v>
      </c>
      <c r="G167" s="159">
        <v>0.53</v>
      </c>
      <c r="H167" s="66">
        <f t="shared" si="27"/>
        <v>113.31218632829508</v>
      </c>
    </row>
    <row r="168" spans="1:8" ht="15" hidden="1">
      <c r="A168" s="63">
        <f t="shared" si="28"/>
        <v>2018</v>
      </c>
      <c r="B168" s="64" t="s">
        <v>15</v>
      </c>
      <c r="C168" s="160">
        <f>134*1.0101</f>
        <v>135.3534</v>
      </c>
      <c r="D168" s="202">
        <f>130.4/90.3*110.4</f>
        <v>159.42591362126248</v>
      </c>
      <c r="E168" s="202">
        <f>131/99.8*103.1</f>
        <v>135.3316633266533</v>
      </c>
      <c r="F168" s="200">
        <f>+F$121*(108.8/103.3)</f>
        <v>104.16573088092933</v>
      </c>
      <c r="G168" s="161">
        <v>0.63</v>
      </c>
      <c r="H168" s="181">
        <f t="shared" si="27"/>
        <v>113.58114205607819</v>
      </c>
    </row>
    <row r="169" spans="1:8" ht="15" hidden="1">
      <c r="A169" s="70">
        <f t="shared" si="28"/>
        <v>2018</v>
      </c>
      <c r="B169" s="187" t="s">
        <v>16</v>
      </c>
      <c r="C169" s="157">
        <f>135.2*1.0101</f>
        <v>136.56552</v>
      </c>
      <c r="D169" s="217">
        <f>130.4/90.3*110.1</f>
        <v>158.99269102990033</v>
      </c>
      <c r="E169" s="217">
        <f>131/99.8*102.7</f>
        <v>134.80661322645292</v>
      </c>
      <c r="F169" s="198">
        <f>+F$121*(108.7/103.3)</f>
        <v>104.0699903194579</v>
      </c>
      <c r="G169" s="159">
        <v>0.69</v>
      </c>
      <c r="H169" s="66">
        <f t="shared" si="27"/>
        <v>114.22947809124688</v>
      </c>
    </row>
    <row r="170" spans="1:8" ht="15" hidden="1">
      <c r="A170" s="32">
        <f t="shared" si="28"/>
        <v>2018</v>
      </c>
      <c r="B170" s="33" t="s">
        <v>17</v>
      </c>
      <c r="C170" s="157">
        <f>135.2*1.0101</f>
        <v>136.56552</v>
      </c>
      <c r="D170" s="217">
        <f>130.4/90.3*111.2</f>
        <v>160.5811738648948</v>
      </c>
      <c r="E170" s="217">
        <f>131/99.8*102.4</f>
        <v>134.41282565130263</v>
      </c>
      <c r="F170" s="198">
        <f>+F$121*(109.4/103.3)</f>
        <v>104.74017424975801</v>
      </c>
      <c r="G170" s="159">
        <v>0.58</v>
      </c>
      <c r="H170" s="66">
        <f t="shared" si="27"/>
        <v>114.3150610558983</v>
      </c>
    </row>
    <row r="171" spans="1:9" ht="15.75" hidden="1" thickBot="1">
      <c r="A171" s="72">
        <f t="shared" si="28"/>
        <v>2018</v>
      </c>
      <c r="B171" s="73" t="s">
        <v>18</v>
      </c>
      <c r="C171" s="162">
        <f>135.2*1.0101</f>
        <v>136.56552</v>
      </c>
      <c r="D171" s="218">
        <f>130.4/90.3*115.7</f>
        <v>167.0795127353267</v>
      </c>
      <c r="E171" s="218">
        <f>131/99.8*102.7</f>
        <v>134.80661322645292</v>
      </c>
      <c r="F171" s="199">
        <f>+F$121*(109.9/103.3)</f>
        <v>105.21887705711521</v>
      </c>
      <c r="G171" s="163">
        <v>0.62</v>
      </c>
      <c r="H171" s="137">
        <f t="shared" si="27"/>
        <v>115.21063260362148</v>
      </c>
      <c r="I171" s="13"/>
    </row>
    <row r="172" spans="1:9" ht="15" hidden="1">
      <c r="A172" s="74">
        <v>2019</v>
      </c>
      <c r="B172" s="187" t="s">
        <v>8</v>
      </c>
      <c r="C172" s="157">
        <f>135.8*1.0101</f>
        <v>137.17158</v>
      </c>
      <c r="D172" s="217">
        <f>130.4/90.3*114.5</f>
        <v>165.3466223698782</v>
      </c>
      <c r="E172" s="217">
        <f>131/99.8*102.4</f>
        <v>134.41282565130263</v>
      </c>
      <c r="F172" s="198">
        <f>+F$121*(109.9/103.3)</f>
        <v>105.21887705711521</v>
      </c>
      <c r="G172" s="159">
        <v>0.63</v>
      </c>
      <c r="H172" s="66">
        <f>100+((C172-$C$40)/$C$40*100*$C$2)+((D172-$D$40)/$D$40*100*$D$2)+((E172-$E$40)/$E$40*100*$E$2)+((F172-$F$40)/$F$40*100*$F$2)+((G172-$G$40)/$G$40*100*$G$2)</f>
        <v>115.32447919702147</v>
      </c>
      <c r="I172" s="13"/>
    </row>
    <row r="173" spans="1:9" ht="15" hidden="1">
      <c r="A173" s="32">
        <f>A172</f>
        <v>2019</v>
      </c>
      <c r="B173" s="33" t="s">
        <v>9</v>
      </c>
      <c r="C173" s="157">
        <f>135.8*1.0101</f>
        <v>137.17158</v>
      </c>
      <c r="D173" s="217">
        <f>130.4/90.3*107.4</f>
        <v>155.0936877076412</v>
      </c>
      <c r="E173" s="217">
        <f>131/99.8*102.1</f>
        <v>134.0190380761523</v>
      </c>
      <c r="F173" s="198">
        <f>+F$121*(109.7/103.3)</f>
        <v>105.02739593417233</v>
      </c>
      <c r="G173" s="159">
        <v>0.63</v>
      </c>
      <c r="H173" s="66">
        <f aca="true" t="shared" si="29" ref="H173:H183">100+((C173-$C$40)/$C$40*100*$C$2)+((D173-$D$40)/$D$40*100*$D$2)+((E173-$E$40)/$E$40*100*$E$2)+((F173-$F$40)/$F$40*100*$F$2)+((G173-$G$40)/$G$40*100*$G$2)</f>
        <v>114.05886841449308</v>
      </c>
      <c r="I173" s="13"/>
    </row>
    <row r="174" spans="1:9" ht="15" hidden="1">
      <c r="A174" s="63">
        <f aca="true" t="shared" si="30" ref="A174:A183">A173</f>
        <v>2019</v>
      </c>
      <c r="B174" s="64" t="s">
        <v>10</v>
      </c>
      <c r="C174" s="160">
        <f>135.8*1.0101</f>
        <v>137.17158</v>
      </c>
      <c r="D174" s="202">
        <f>130.4/90.3*105.4</f>
        <v>152.20553709856037</v>
      </c>
      <c r="E174" s="202">
        <f>131/99.8*102.3</f>
        <v>134.2815631262525</v>
      </c>
      <c r="F174" s="200">
        <f>+F$173*(103.3/103.6)</f>
        <v>104.72326254826257</v>
      </c>
      <c r="G174" s="161">
        <v>0.68</v>
      </c>
      <c r="H174" s="181">
        <f t="shared" si="29"/>
        <v>113.76792809580697</v>
      </c>
      <c r="I174" s="13"/>
    </row>
    <row r="175" spans="1:9" ht="15" hidden="1">
      <c r="A175" s="70">
        <f t="shared" si="30"/>
        <v>2019</v>
      </c>
      <c r="B175" s="187" t="s">
        <v>11</v>
      </c>
      <c r="C175" s="157">
        <f>136.4*1.0101</f>
        <v>137.77764000000002</v>
      </c>
      <c r="D175" s="217">
        <f>130.4/90.3*107.8</f>
        <v>155.67131782945737</v>
      </c>
      <c r="E175" s="217">
        <f>131/99.8*102.8</f>
        <v>134.93787575150301</v>
      </c>
      <c r="F175" s="198">
        <f>+F$173*(103.6/103.6)</f>
        <v>105.02739593417233</v>
      </c>
      <c r="G175" s="159">
        <v>0.55</v>
      </c>
      <c r="H175" s="66">
        <f t="shared" si="29"/>
        <v>114.42548718976133</v>
      </c>
      <c r="I175" s="13"/>
    </row>
    <row r="176" spans="1:9" ht="15" hidden="1">
      <c r="A176" s="32">
        <f t="shared" si="30"/>
        <v>2019</v>
      </c>
      <c r="B176" s="33" t="s">
        <v>12</v>
      </c>
      <c r="C176" s="157">
        <f>136.4*1.0101</f>
        <v>137.77764000000002</v>
      </c>
      <c r="D176" s="217">
        <f>130.4/90.3*110.5</f>
        <v>159.5703211517165</v>
      </c>
      <c r="E176" s="217">
        <f>131/99.8*102.9</f>
        <v>135.06913827655313</v>
      </c>
      <c r="F176" s="198">
        <f>+F$173*(103.7/103.6)</f>
        <v>105.12877372947561</v>
      </c>
      <c r="G176" s="159">
        <f>+G175</f>
        <v>0.55</v>
      </c>
      <c r="H176" s="66">
        <f t="shared" si="29"/>
        <v>114.9081425286415</v>
      </c>
      <c r="I176" s="13"/>
    </row>
    <row r="177" spans="1:9" ht="15" hidden="1">
      <c r="A177" s="63">
        <f t="shared" si="30"/>
        <v>2019</v>
      </c>
      <c r="B177" s="64" t="s">
        <v>13</v>
      </c>
      <c r="C177" s="160">
        <f>136.4*1.0101</f>
        <v>137.77764000000002</v>
      </c>
      <c r="D177" s="202">
        <f>130.4/90.3*110.9</f>
        <v>160.1479512735327</v>
      </c>
      <c r="E177" s="202">
        <f>131/99.8*103.2</f>
        <v>135.46292585170343</v>
      </c>
      <c r="F177" s="200">
        <f>+F$173*(104.5/103.6)</f>
        <v>105.93979609190164</v>
      </c>
      <c r="G177" s="161">
        <v>0.59</v>
      </c>
      <c r="H177" s="181">
        <f t="shared" si="29"/>
        <v>115.12966981526006</v>
      </c>
      <c r="I177" s="13"/>
    </row>
    <row r="178" spans="1:9" ht="12.75" customHeight="1" hidden="1">
      <c r="A178" s="32">
        <f t="shared" si="30"/>
        <v>2019</v>
      </c>
      <c r="B178" s="33" t="s">
        <v>31</v>
      </c>
      <c r="C178" s="157">
        <f>136.6*1.0101</f>
        <v>137.97966</v>
      </c>
      <c r="D178" s="217">
        <f>130.4/90.3*112.1</f>
        <v>161.88084163898117</v>
      </c>
      <c r="E178" s="217">
        <f>131/99.8*103.1</f>
        <v>135.3316633266533</v>
      </c>
      <c r="F178" s="198">
        <f>+F$173*(104.6/103.6)</f>
        <v>106.04117388720489</v>
      </c>
      <c r="G178" s="159">
        <v>0.57</v>
      </c>
      <c r="H178" s="66">
        <f t="shared" si="29"/>
        <v>115.4227270377541</v>
      </c>
      <c r="I178" s="13"/>
    </row>
    <row r="179" spans="1:9" ht="15" hidden="1">
      <c r="A179" s="32">
        <f t="shared" si="30"/>
        <v>2019</v>
      </c>
      <c r="B179" s="33" t="s">
        <v>14</v>
      </c>
      <c r="C179" s="157">
        <f>136.6*1.0101</f>
        <v>137.97966</v>
      </c>
      <c r="D179" s="217">
        <f>130.4/90.3*107.1</f>
        <v>154.66046511627906</v>
      </c>
      <c r="E179" s="217">
        <f>131/99.8*102.9</f>
        <v>135.06913827655313</v>
      </c>
      <c r="F179" s="198">
        <f>+F$173*(105/103.6)</f>
        <v>106.4466850684179</v>
      </c>
      <c r="G179" s="159">
        <v>0.39</v>
      </c>
      <c r="H179" s="66">
        <f t="shared" si="29"/>
        <v>114.35614575682416</v>
      </c>
      <c r="I179" s="13"/>
    </row>
    <row r="180" spans="1:9" ht="15" hidden="1">
      <c r="A180" s="63">
        <f t="shared" si="30"/>
        <v>2019</v>
      </c>
      <c r="B180" s="64" t="s">
        <v>15</v>
      </c>
      <c r="C180" s="160">
        <f>136.6*1.0101</f>
        <v>137.97966</v>
      </c>
      <c r="D180" s="202">
        <f>130.4/90.3*108.2</f>
        <v>156.24894795127355</v>
      </c>
      <c r="E180" s="202">
        <f>131/99.8*103.5</f>
        <v>135.85671342685373</v>
      </c>
      <c r="F180" s="200">
        <f>+F$173*(104.4/103.6)</f>
        <v>105.83841829659839</v>
      </c>
      <c r="G180" s="161">
        <v>0.3</v>
      </c>
      <c r="H180" s="181">
        <f t="shared" si="29"/>
        <v>114.43021496834194</v>
      </c>
      <c r="I180" s="13"/>
    </row>
    <row r="181" spans="1:9" ht="14.25" customHeight="1" hidden="1">
      <c r="A181" s="70">
        <f t="shared" si="30"/>
        <v>2019</v>
      </c>
      <c r="B181" s="187" t="s">
        <v>16</v>
      </c>
      <c r="C181" s="157">
        <f>137.8*1.0101</f>
        <v>139.19178000000002</v>
      </c>
      <c r="D181" s="217">
        <f>130.4/90.3*107</f>
        <v>154.51605758582502</v>
      </c>
      <c r="E181" s="217">
        <f>131/99.8*103.1</f>
        <v>135.3316633266533</v>
      </c>
      <c r="F181" s="198">
        <f>+F$173*(104.1/103.6)</f>
        <v>105.5342849106886</v>
      </c>
      <c r="G181" s="159">
        <v>0.21</v>
      </c>
      <c r="H181" s="66">
        <f t="shared" si="29"/>
        <v>114.7158339003598</v>
      </c>
      <c r="I181" s="13"/>
    </row>
    <row r="182" spans="1:9" ht="18" customHeight="1" hidden="1">
      <c r="A182" s="32">
        <f t="shared" si="30"/>
        <v>2019</v>
      </c>
      <c r="B182" s="33" t="s">
        <v>17</v>
      </c>
      <c r="C182" s="157">
        <f>137.8*1.0101</f>
        <v>139.19178000000002</v>
      </c>
      <c r="D182" s="217">
        <f>130.4/90.3*110.4</f>
        <v>159.42591362126248</v>
      </c>
      <c r="E182" s="217">
        <f>131/99.8*102.9</f>
        <v>135.06913827655313</v>
      </c>
      <c r="F182" s="198">
        <f>+F$173*(103.9/103.6)</f>
        <v>105.3315293200821</v>
      </c>
      <c r="G182" s="159">
        <v>0.26</v>
      </c>
      <c r="H182" s="66">
        <f t="shared" si="29"/>
        <v>115.32625709959333</v>
      </c>
      <c r="I182" s="13"/>
    </row>
    <row r="183" spans="1:10" ht="15.75" hidden="1" thickBot="1">
      <c r="A183" s="72">
        <f t="shared" si="30"/>
        <v>2019</v>
      </c>
      <c r="B183" s="73" t="s">
        <v>18</v>
      </c>
      <c r="C183" s="162">
        <f>137.8*1.0101</f>
        <v>139.19178000000002</v>
      </c>
      <c r="D183" s="218">
        <f>130.4/90.3*109.9</f>
        <v>158.70387596899226</v>
      </c>
      <c r="E183" s="218">
        <f>131/99.8*103.3</f>
        <v>135.59418837675352</v>
      </c>
      <c r="F183" s="199">
        <f>+F$173*(103.7/103.6)</f>
        <v>105.12877372947561</v>
      </c>
      <c r="G183" s="163">
        <v>0.34</v>
      </c>
      <c r="H183" s="137">
        <f t="shared" si="29"/>
        <v>115.35850327339361</v>
      </c>
      <c r="I183" s="13"/>
      <c r="J183" s="13"/>
    </row>
    <row r="184" spans="1:8" ht="15">
      <c r="A184" s="74">
        <v>2020</v>
      </c>
      <c r="B184" s="187" t="s">
        <v>8</v>
      </c>
      <c r="C184" s="157">
        <f>138.6*1.0101</f>
        <v>139.99985999999998</v>
      </c>
      <c r="D184" s="217">
        <f>130.4/90.3*108.9</f>
        <v>157.25980066445183</v>
      </c>
      <c r="E184" s="217">
        <f>131/99.8*103.1</f>
        <v>135.3316633266533</v>
      </c>
      <c r="F184" s="198">
        <f>+F$173*(103.9/103.6)</f>
        <v>105.3315293200821</v>
      </c>
      <c r="G184" s="159">
        <v>0.23</v>
      </c>
      <c r="H184" s="66">
        <f aca="true" t="shared" si="31" ref="H184:H195">100+((C184-$C$40)/$C$40*100*$C$2)+((D184-$D$40)/$D$40*100*$D$2)+((E184-$E$40)/$E$40*100*$E$2)+((F184-$F$40)/$F$40*100*$F$2)+((G184-$G$40)/$G$40*100*$G$2)</f>
        <v>115.49528725236792</v>
      </c>
    </row>
    <row r="185" spans="1:8" ht="15">
      <c r="A185" s="32">
        <f>A184</f>
        <v>2020</v>
      </c>
      <c r="B185" s="33" t="s">
        <v>9</v>
      </c>
      <c r="C185" s="157">
        <f>138.6*1.0101</f>
        <v>139.99985999999998</v>
      </c>
      <c r="D185" s="217">
        <f>130.4/90.3*110.7</f>
        <v>159.8591362126246</v>
      </c>
      <c r="E185" s="217">
        <f>131/99.8*102.9</f>
        <v>135.06913827655313</v>
      </c>
      <c r="F185" s="198">
        <f>+F$173*(104/103.6)</f>
        <v>105.43290711538535</v>
      </c>
      <c r="G185" s="159">
        <v>0.36</v>
      </c>
      <c r="H185" s="66">
        <f t="shared" si="31"/>
        <v>115.95946691988824</v>
      </c>
    </row>
    <row r="186" spans="1:8" ht="15">
      <c r="A186" s="63">
        <f aca="true" t="shared" si="32" ref="A186:A195">A185</f>
        <v>2020</v>
      </c>
      <c r="B186" s="64" t="s">
        <v>10</v>
      </c>
      <c r="C186" s="160">
        <f>138.6*1.0101</f>
        <v>139.99985999999998</v>
      </c>
      <c r="D186" s="202">
        <f>130.4/90.3*114.6</f>
        <v>165.49102990033222</v>
      </c>
      <c r="E186" s="202">
        <f>131/99.8*103</f>
        <v>135.20040080160322</v>
      </c>
      <c r="F186" s="200">
        <f>+F$173*(104.9/103.6)</f>
        <v>106.34530727311467</v>
      </c>
      <c r="G186" s="161">
        <v>0.29</v>
      </c>
      <c r="H186" s="181">
        <f t="shared" si="31"/>
        <v>116.635540417017</v>
      </c>
    </row>
    <row r="187" spans="1:8" ht="15">
      <c r="A187" s="70">
        <f t="shared" si="32"/>
        <v>2020</v>
      </c>
      <c r="B187" s="187" t="s">
        <v>11</v>
      </c>
      <c r="C187" s="157">
        <f>139.2*1.0101</f>
        <v>140.60592</v>
      </c>
      <c r="D187" s="217">
        <f>130.4/90.3*108.1</f>
        <v>156.1045404208195</v>
      </c>
      <c r="E187" s="217">
        <f>131/99.8*103.6</f>
        <v>135.98797595190382</v>
      </c>
      <c r="F187" s="198">
        <f>+F$173*(105/103.6)</f>
        <v>106.4466850684179</v>
      </c>
      <c r="G187" s="159">
        <v>0.1</v>
      </c>
      <c r="H187" s="66">
        <f t="shared" si="31"/>
        <v>115.67789442141986</v>
      </c>
    </row>
    <row r="188" spans="1:8" ht="15">
      <c r="A188" s="32">
        <f t="shared" si="32"/>
        <v>2020</v>
      </c>
      <c r="B188" s="33" t="s">
        <v>12</v>
      </c>
      <c r="C188" s="157">
        <f>139.2*1.0101</f>
        <v>140.60592</v>
      </c>
      <c r="D188" s="217">
        <f>130.4/90.3*100.9</f>
        <v>145.70719822812848</v>
      </c>
      <c r="E188" s="217">
        <f>131/99.8*103.3</f>
        <v>135.59418837675352</v>
      </c>
      <c r="F188" s="198">
        <f>+F$173*(105.2/103.6)</f>
        <v>106.64944065902444</v>
      </c>
      <c r="G188" s="159">
        <v>0.45</v>
      </c>
      <c r="H188" s="66">
        <f t="shared" si="31"/>
        <v>114.87188483156237</v>
      </c>
    </row>
    <row r="189" spans="1:8" ht="15">
      <c r="A189" s="63">
        <f t="shared" si="32"/>
        <v>2020</v>
      </c>
      <c r="B189" s="64" t="s">
        <v>13</v>
      </c>
      <c r="C189" s="160">
        <f>139.2*1.0101</f>
        <v>140.60592</v>
      </c>
      <c r="D189" s="202">
        <f>130.4/90.3*92.5</f>
        <v>133.57696566998894</v>
      </c>
      <c r="E189" s="202">
        <f>131/99.8*103.2</f>
        <v>135.46292585170343</v>
      </c>
      <c r="F189" s="200">
        <f>+F$173*(105.2/103.6)</f>
        <v>106.64944065902444</v>
      </c>
      <c r="G189" s="161">
        <v>0.35</v>
      </c>
      <c r="H189" s="181">
        <f t="shared" si="31"/>
        <v>113.29293158687308</v>
      </c>
    </row>
    <row r="190" spans="1:8" ht="15">
      <c r="A190" s="32">
        <f t="shared" si="32"/>
        <v>2020</v>
      </c>
      <c r="B190" s="33" t="s">
        <v>31</v>
      </c>
      <c r="C190" s="157">
        <f>139.8*1.0101</f>
        <v>141.21198</v>
      </c>
      <c r="D190" s="217">
        <f>130.4/90.3*88.1</f>
        <v>127.22303433001107</v>
      </c>
      <c r="E190" s="217">
        <f>131/99.8*103.1</f>
        <v>135.3316633266533</v>
      </c>
      <c r="F190" s="222">
        <f>+F$173*(105.3/103.6)</f>
        <v>106.75081845432769</v>
      </c>
      <c r="G190" s="159">
        <v>0.23</v>
      </c>
      <c r="H190" s="66">
        <f t="shared" si="31"/>
        <v>112.72071229548855</v>
      </c>
    </row>
    <row r="191" spans="1:8" ht="15">
      <c r="A191" s="32">
        <f t="shared" si="32"/>
        <v>2020</v>
      </c>
      <c r="B191" s="33" t="s">
        <v>14</v>
      </c>
      <c r="C191" s="157">
        <f>139.8*1.0101</f>
        <v>141.21198</v>
      </c>
      <c r="D191" s="217">
        <f>130.4/90.3*92.5</f>
        <v>133.57696566998894</v>
      </c>
      <c r="E191" s="217">
        <f>131/99.8*103.2</f>
        <v>135.46292585170343</v>
      </c>
      <c r="F191" s="198">
        <f>+F$173*(105.5/103.6)</f>
        <v>106.95357404493419</v>
      </c>
      <c r="G191" s="159">
        <v>0.22</v>
      </c>
      <c r="H191" s="66">
        <f t="shared" si="31"/>
        <v>113.49243885353881</v>
      </c>
    </row>
    <row r="192" spans="1:8" ht="15">
      <c r="A192" s="63">
        <f t="shared" si="32"/>
        <v>2020</v>
      </c>
      <c r="B192" s="64" t="s">
        <v>15</v>
      </c>
      <c r="C192" s="160">
        <f>139.8*1.0101</f>
        <v>141.21198</v>
      </c>
      <c r="D192" s="202">
        <f>130.4/90.3*95.7</f>
        <v>138.19800664451827</v>
      </c>
      <c r="E192" s="202">
        <f>131/99.8*104</f>
        <v>136.5130260521042</v>
      </c>
      <c r="F192" s="200">
        <f>+F$173*(105.7/103.6)</f>
        <v>107.1563296355407</v>
      </c>
      <c r="G192" s="161">
        <v>0.17</v>
      </c>
      <c r="H192" s="181">
        <f t="shared" si="31"/>
        <v>114.07119691049098</v>
      </c>
    </row>
    <row r="193" spans="1:8" ht="15">
      <c r="A193" s="32">
        <f t="shared" si="32"/>
        <v>2020</v>
      </c>
      <c r="B193" s="33" t="s">
        <v>16</v>
      </c>
      <c r="C193" s="157">
        <f>140.2*1.0101</f>
        <v>141.61602</v>
      </c>
      <c r="D193" s="217">
        <f>130.4/90.3*95.7</f>
        <v>138.19800664451827</v>
      </c>
      <c r="E193" s="217">
        <f>131/99.8*103.6</f>
        <v>135.98797595190382</v>
      </c>
      <c r="F193" s="222">
        <f>+F$173*(106/103.6)</f>
        <v>107.46046302145045</v>
      </c>
      <c r="G193" s="159">
        <v>0.22</v>
      </c>
      <c r="H193" s="66">
        <f t="shared" si="31"/>
        <v>114.34913890532042</v>
      </c>
    </row>
    <row r="194" spans="1:8" ht="15">
      <c r="A194" s="32">
        <f t="shared" si="32"/>
        <v>2020</v>
      </c>
      <c r="B194" s="33" t="s">
        <v>17</v>
      </c>
      <c r="C194" s="157">
        <f>140.2*1.0101</f>
        <v>141.61602</v>
      </c>
      <c r="D194" s="217">
        <f>130.4/90.3*93.5</f>
        <v>135.02104097452934</v>
      </c>
      <c r="E194" s="217">
        <f>131/99.8*103.5</f>
        <v>135.85671342685373</v>
      </c>
      <c r="F194" s="198">
        <f>+F$173*(105.9/103.6)</f>
        <v>107.3590852261472</v>
      </c>
      <c r="G194" s="159">
        <v>0.15</v>
      </c>
      <c r="H194" s="66">
        <f t="shared" si="31"/>
        <v>113.86439011534036</v>
      </c>
    </row>
    <row r="195" spans="1:8" ht="15.75" thickBot="1">
      <c r="A195" s="72">
        <f t="shared" si="32"/>
        <v>2020</v>
      </c>
      <c r="B195" s="73" t="s">
        <v>18</v>
      </c>
      <c r="C195" s="162">
        <f>140.2*1.0101</f>
        <v>141.61602</v>
      </c>
      <c r="D195" s="218">
        <f>130.4/90.3*93.3</f>
        <v>134.73222591362128</v>
      </c>
      <c r="E195" s="218">
        <f>131/99.8*103.7</f>
        <v>136.1192384769539</v>
      </c>
      <c r="F195" s="199">
        <f>+F$173*(105.7/103.6)</f>
        <v>107.1563296355407</v>
      </c>
      <c r="G195" s="163">
        <v>0.08</v>
      </c>
      <c r="H195" s="137">
        <f t="shared" si="31"/>
        <v>113.74134760862323</v>
      </c>
    </row>
    <row r="196" spans="1:10" ht="15">
      <c r="A196" s="74">
        <v>2021</v>
      </c>
      <c r="B196" s="187" t="s">
        <v>8</v>
      </c>
      <c r="C196" s="157">
        <f>141*1.0101</f>
        <v>142.4241</v>
      </c>
      <c r="D196" s="217">
        <f>130.4/90.3*93.5</f>
        <v>135.02104097452934</v>
      </c>
      <c r="E196" s="217">
        <f>131/99.8*103.6</f>
        <v>135.98797595190382</v>
      </c>
      <c r="F196" s="198">
        <f>+F$173*(106.1/103.6)</f>
        <v>107.5618408167537</v>
      </c>
      <c r="G196" s="159">
        <v>0.15</v>
      </c>
      <c r="H196" s="66">
        <f aca="true" t="shared" si="33" ref="H196:H207">100+((C196-$C$40)/$C$40*100*$C$2)+((D196-$D$40)/$D$40*100*$D$2)+((E196-$E$40)/$E$40*100*$E$2)+((F196-$F$40)/$F$40*100*$F$2)+((G196-$G$40)/$G$40*100*$G$2)</f>
        <v>114.33872793080046</v>
      </c>
      <c r="J196" s="13"/>
    </row>
    <row r="197" spans="1:16" ht="15">
      <c r="A197" s="32">
        <f>A196</f>
        <v>2021</v>
      </c>
      <c r="B197" s="33" t="s">
        <v>9</v>
      </c>
      <c r="C197" s="157">
        <f>141*1.0101</f>
        <v>142.4241</v>
      </c>
      <c r="D197" s="217">
        <f>130.4/90.3*98.6</f>
        <v>142.38582502768548</v>
      </c>
      <c r="E197" s="217">
        <f>131/99.8*103.4</f>
        <v>135.7254509018036</v>
      </c>
      <c r="F197" s="198">
        <f>+F$173*(105.8/103.6)</f>
        <v>107.25770743084395</v>
      </c>
      <c r="G197" s="159">
        <v>-0.01</v>
      </c>
      <c r="H197" s="66">
        <f t="shared" si="33"/>
        <v>114.96785702200084</v>
      </c>
      <c r="P197" s="219"/>
    </row>
    <row r="198" spans="1:16" ht="15">
      <c r="A198" s="63">
        <f aca="true" t="shared" si="34" ref="A198:A207">A197</f>
        <v>2021</v>
      </c>
      <c r="B198" s="64" t="s">
        <v>10</v>
      </c>
      <c r="C198" s="160">
        <f>141*1.0101</f>
        <v>142.4241</v>
      </c>
      <c r="D198" s="202">
        <f>130.4/90.3*100.8</f>
        <v>145.56279069767442</v>
      </c>
      <c r="E198" s="202">
        <f>131/99.8*103.6</f>
        <v>135.98797595190382</v>
      </c>
      <c r="F198" s="200">
        <f>+F$173*(106.9/103.6)</f>
        <v>108.37286317917976</v>
      </c>
      <c r="G198" s="161">
        <v>0.14</v>
      </c>
      <c r="H198" s="181">
        <f t="shared" si="33"/>
        <v>115.65629152022137</v>
      </c>
      <c r="P198" s="221"/>
    </row>
    <row r="199" spans="1:8" ht="15">
      <c r="A199" s="70">
        <f t="shared" si="34"/>
        <v>2021</v>
      </c>
      <c r="B199" s="187" t="s">
        <v>11</v>
      </c>
      <c r="C199" s="157">
        <f>141.6*1.0101</f>
        <v>143.03016</v>
      </c>
      <c r="D199" s="217">
        <f>130.4/90.3*105.1</f>
        <v>151.77231450719822</v>
      </c>
      <c r="E199" s="217">
        <f>131/99.8*104.2</f>
        <v>136.77555110220442</v>
      </c>
      <c r="F199" s="198">
        <f>+F$173*(107.1/103.6)</f>
        <v>108.57561876978626</v>
      </c>
      <c r="G199" s="159">
        <v>0.33</v>
      </c>
      <c r="H199" s="66">
        <f t="shared" si="33"/>
        <v>117.0426976947823</v>
      </c>
    </row>
    <row r="200" spans="1:8" ht="15">
      <c r="A200" s="32">
        <f t="shared" si="34"/>
        <v>2021</v>
      </c>
      <c r="B200" s="33" t="s">
        <v>12</v>
      </c>
      <c r="C200" s="157">
        <f>141.6*1.0101</f>
        <v>143.03016</v>
      </c>
      <c r="D200" s="217">
        <f>130.4/90.3*108.8</f>
        <v>157.1153931339978</v>
      </c>
      <c r="E200" s="217">
        <f>131/99.8*104.3</f>
        <v>136.9068136272545</v>
      </c>
      <c r="F200" s="198">
        <f>+F$173*(107.7/103.6)</f>
        <v>109.1838855416058</v>
      </c>
      <c r="G200" s="159">
        <v>0.44</v>
      </c>
      <c r="H200" s="66">
        <f t="shared" si="33"/>
        <v>117.88261404066569</v>
      </c>
    </row>
    <row r="201" spans="1:8" ht="15">
      <c r="A201" s="63">
        <f t="shared" si="34"/>
        <v>2021</v>
      </c>
      <c r="B201" s="64" t="s">
        <v>13</v>
      </c>
      <c r="C201" s="160">
        <f>141.6*1.0101</f>
        <v>143.03016</v>
      </c>
      <c r="D201" s="202">
        <f>130.4/90.3*106.7</f>
        <v>154.0828349944629</v>
      </c>
      <c r="E201" s="202">
        <f>131/99.8*104.7</f>
        <v>137.43186372745492</v>
      </c>
      <c r="F201" s="200">
        <f>+F$173*(108/103.6)</f>
        <v>109.48801892751557</v>
      </c>
      <c r="G201" s="161">
        <v>0.39</v>
      </c>
      <c r="H201" s="181">
        <f t="shared" si="33"/>
        <v>117.52325873951575</v>
      </c>
    </row>
    <row r="202" spans="1:11" ht="15">
      <c r="A202" s="32">
        <f t="shared" si="34"/>
        <v>2021</v>
      </c>
      <c r="B202" s="33" t="s">
        <v>31</v>
      </c>
      <c r="C202" s="157">
        <f>142.6*1.0101</f>
        <v>144.04026</v>
      </c>
      <c r="D202" s="217">
        <f>130.4/90.3*108.9</f>
        <v>157.25980066445183</v>
      </c>
      <c r="E202" s="217">
        <f>131/99.8*104.9</f>
        <v>137.69438877755513</v>
      </c>
      <c r="F202" s="222">
        <f>+F$173*(108.2/103.6)</f>
        <v>109.69077451812207</v>
      </c>
      <c r="G202" s="159">
        <v>0.48</v>
      </c>
      <c r="H202" s="66">
        <f t="shared" si="33"/>
        <v>118.60971933724922</v>
      </c>
      <c r="K202" s="207"/>
    </row>
    <row r="203" spans="1:8" ht="15">
      <c r="A203" s="32">
        <f t="shared" si="34"/>
        <v>2021</v>
      </c>
      <c r="B203" s="33" t="s">
        <v>14</v>
      </c>
      <c r="C203" s="157">
        <f>142.6*1.0101</f>
        <v>144.04026</v>
      </c>
      <c r="D203" s="217">
        <f>130.4/90.3*111.6</f>
        <v>161.15880398671095</v>
      </c>
      <c r="E203" s="217">
        <f>131/99.8*105</f>
        <v>137.82565130260522</v>
      </c>
      <c r="F203" s="198">
        <f>+F$173*(108.4/103.6)</f>
        <v>109.8935301087286</v>
      </c>
      <c r="G203" s="159">
        <v>0.42</v>
      </c>
      <c r="H203" s="66">
        <f t="shared" si="33"/>
        <v>119.02629947809577</v>
      </c>
    </row>
    <row r="204" spans="1:8" ht="15">
      <c r="A204" s="63">
        <f t="shared" si="34"/>
        <v>2021</v>
      </c>
      <c r="B204" s="64" t="s">
        <v>15</v>
      </c>
      <c r="C204" s="160">
        <f>142.6*1.0101</f>
        <v>144.04026</v>
      </c>
      <c r="D204" s="202">
        <f>130.4/90.3*113.9</f>
        <v>164.48017718715394</v>
      </c>
      <c r="E204" s="202">
        <f>131/99.8*105.7</f>
        <v>138.74448897795594</v>
      </c>
      <c r="F204" s="200">
        <f>+F$173*(108.5/103.6)</f>
        <v>109.99490790403185</v>
      </c>
      <c r="G204" s="161">
        <v>0.37</v>
      </c>
      <c r="H204" s="181">
        <f t="shared" si="33"/>
        <v>119.4318469042836</v>
      </c>
    </row>
    <row r="205" spans="1:8" ht="15">
      <c r="A205" s="32">
        <f t="shared" si="34"/>
        <v>2021</v>
      </c>
      <c r="B205" s="33" t="s">
        <v>16</v>
      </c>
      <c r="C205" s="157">
        <f>144.1*1.0101</f>
        <v>145.55541</v>
      </c>
      <c r="D205" s="217">
        <f>130.4/90.3*113.5</f>
        <v>163.90254706533776</v>
      </c>
      <c r="E205" s="217">
        <f>131/99.8*105.5</f>
        <v>138.48196392785573</v>
      </c>
      <c r="F205" s="222">
        <f>+F$173*(108.7/103.6)</f>
        <v>110.19766349463836</v>
      </c>
      <c r="G205" s="159">
        <v>0.4</v>
      </c>
      <c r="H205" s="66">
        <f t="shared" si="33"/>
        <v>120.23852615706711</v>
      </c>
    </row>
    <row r="206" spans="1:8" ht="15">
      <c r="A206" s="32">
        <f t="shared" si="34"/>
        <v>2021</v>
      </c>
      <c r="B206" s="33" t="s">
        <v>17</v>
      </c>
      <c r="C206" s="157">
        <f>144.1*1.0101</f>
        <v>145.55541</v>
      </c>
      <c r="D206" s="217">
        <f>130.4/90.3*116.3</f>
        <v>167.94595791805094</v>
      </c>
      <c r="E206" s="217">
        <f>131/99.8*105.8</f>
        <v>138.87575150300603</v>
      </c>
      <c r="F206" s="198">
        <f>+F$173*(109.3/103.6)</f>
        <v>110.80593026645788</v>
      </c>
      <c r="G206" s="159">
        <v>0.45</v>
      </c>
      <c r="H206" s="66">
        <f t="shared" si="33"/>
        <v>120.86643200403309</v>
      </c>
    </row>
    <row r="207" spans="1:8" ht="15.75" thickBot="1">
      <c r="A207" s="72">
        <f t="shared" si="34"/>
        <v>2021</v>
      </c>
      <c r="B207" s="73" t="s">
        <v>18</v>
      </c>
      <c r="C207" s="162">
        <f>144.1*1.0101</f>
        <v>145.55541</v>
      </c>
      <c r="D207" s="218">
        <f>130.4/90.3*126.9</f>
        <v>183.2531561461794</v>
      </c>
      <c r="E207" s="218">
        <f>131/99.8*106.8</f>
        <v>140.18837675350701</v>
      </c>
      <c r="F207" s="199">
        <f>+F$173*(109.8/103.6)</f>
        <v>111.31281924297416</v>
      </c>
      <c r="G207" s="163">
        <v>0.49</v>
      </c>
      <c r="H207" s="137">
        <f t="shared" si="33"/>
        <v>122.87693223945699</v>
      </c>
    </row>
    <row r="208" spans="1:27" ht="15">
      <c r="A208" s="74">
        <v>2022</v>
      </c>
      <c r="B208" s="187" t="s">
        <v>8</v>
      </c>
      <c r="C208" s="157">
        <f>144.9*1.0101</f>
        <v>146.36349</v>
      </c>
      <c r="D208" s="217">
        <f>130.4/90.3*127.8</f>
        <v>184.55282392026578</v>
      </c>
      <c r="E208" s="217">
        <f>131/99.8*107.1</f>
        <v>140.5821643286573</v>
      </c>
      <c r="F208" s="198">
        <f>+F$173*(109.7/103.6)</f>
        <v>111.21144144767091</v>
      </c>
      <c r="G208" s="159">
        <v>0.42</v>
      </c>
      <c r="H208" s="66">
        <f aca="true" t="shared" si="35" ref="H208:H219">100+((C208-$C$40)/$C$40*100*$C$2)+((D208-$D$40)/$D$40*100*$D$2)+((E208-$E$40)/$E$40*100*$E$2)+((F208-$F$40)/$F$40*100*$F$2)+((G208-$G$40)/$G$40*100*$G$2)</f>
        <v>123.40793614752444</v>
      </c>
      <c r="I208" s="13"/>
      <c r="W208" s="67"/>
      <c r="X208" s="67"/>
      <c r="Y208" s="67"/>
      <c r="Z208" s="67"/>
      <c r="AA208" s="67"/>
    </row>
    <row r="209" spans="1:27" ht="15">
      <c r="A209" s="32">
        <f>A208</f>
        <v>2022</v>
      </c>
      <c r="B209" s="187" t="s">
        <v>9</v>
      </c>
      <c r="C209" s="157">
        <f>144.9*1.0101</f>
        <v>146.36349</v>
      </c>
      <c r="D209" s="217">
        <f>130.4/90.3*123.5</f>
        <v>178.34330011074198</v>
      </c>
      <c r="E209" s="217">
        <f>131/99.8*106.6</f>
        <v>139.9258517034068</v>
      </c>
      <c r="F209" s="198">
        <f>+F$173*(110.3/103.6)</f>
        <v>111.81970821949042</v>
      </c>
      <c r="G209" s="159">
        <v>0.54</v>
      </c>
      <c r="H209" s="66">
        <f t="shared" si="35"/>
        <v>122.83057063615095</v>
      </c>
      <c r="W209" s="67"/>
      <c r="X209" s="67"/>
      <c r="Y209" s="67"/>
      <c r="Z209" s="67"/>
      <c r="AA209" s="67"/>
    </row>
    <row r="210" spans="1:27" ht="15">
      <c r="A210" s="63">
        <f aca="true" t="shared" si="36" ref="A210:A219">A209</f>
        <v>2022</v>
      </c>
      <c r="B210" s="64" t="s">
        <v>10</v>
      </c>
      <c r="C210" s="160">
        <f>144.9*1.0101</f>
        <v>146.36349</v>
      </c>
      <c r="D210" s="202">
        <f>130.4/90.3*127.7</f>
        <v>184.40841638981175</v>
      </c>
      <c r="E210" s="202">
        <f>131/99.8*108.1</f>
        <v>141.89478957915833</v>
      </c>
      <c r="F210" s="200">
        <f>+F$173*(113.2/103.6)</f>
        <v>114.75966428328483</v>
      </c>
      <c r="G210" s="161">
        <v>0.7</v>
      </c>
      <c r="H210" s="181">
        <f t="shared" si="35"/>
        <v>124.16274130176751</v>
      </c>
      <c r="W210" s="67"/>
      <c r="X210" s="67"/>
      <c r="Y210" s="67"/>
      <c r="Z210" s="67"/>
      <c r="AA210" s="67"/>
    </row>
    <row r="211" spans="1:27" ht="15">
      <c r="A211" s="70">
        <f t="shared" si="36"/>
        <v>2022</v>
      </c>
      <c r="B211" s="71" t="s">
        <v>11</v>
      </c>
      <c r="C211" s="157">
        <f>145.2*1.0101</f>
        <v>146.66652</v>
      </c>
      <c r="D211" s="217">
        <f>130.4/90.3*133.4</f>
        <v>192.63964562569214</v>
      </c>
      <c r="E211" s="217">
        <f>131/99.8*109.2</f>
        <v>143.33867735470943</v>
      </c>
      <c r="F211" s="222">
        <f>+F$173*(113.6/103.6)</f>
        <v>115.16517546449785</v>
      </c>
      <c r="G211" s="159">
        <v>1.04</v>
      </c>
      <c r="H211" s="66">
        <f t="shared" si="35"/>
        <v>125.87533793282556</v>
      </c>
      <c r="W211" s="67"/>
      <c r="X211" s="67"/>
      <c r="Y211" s="67"/>
      <c r="Z211" s="67"/>
      <c r="AA211" s="67"/>
    </row>
    <row r="212" spans="1:27" ht="15">
      <c r="A212" s="32">
        <f t="shared" si="36"/>
        <v>2022</v>
      </c>
      <c r="B212" s="33" t="s">
        <v>12</v>
      </c>
      <c r="C212" s="157">
        <f>145.2*1.0101</f>
        <v>146.66652</v>
      </c>
      <c r="D212" s="217">
        <f>130.4/90.3*156.4</f>
        <v>225.85337763012183</v>
      </c>
      <c r="E212" s="217">
        <f>131/99.8*109.9</f>
        <v>144.25751503006015</v>
      </c>
      <c r="F212" s="198">
        <f>+F$173*(113.8/103.6)</f>
        <v>115.36793105510438</v>
      </c>
      <c r="G212" s="159">
        <v>1.24</v>
      </c>
      <c r="H212" s="66">
        <f t="shared" si="35"/>
        <v>130.16336141122974</v>
      </c>
      <c r="W212" s="67"/>
      <c r="X212" s="67"/>
      <c r="Y212" s="67"/>
      <c r="Z212" s="67"/>
      <c r="AA212" s="67"/>
    </row>
    <row r="213" spans="1:8" ht="15.75" thickBot="1">
      <c r="A213" s="72">
        <f t="shared" si="36"/>
        <v>2022</v>
      </c>
      <c r="B213" s="73" t="s">
        <v>13</v>
      </c>
      <c r="C213" s="162">
        <f>145.2*1.0101</f>
        <v>146.66652</v>
      </c>
      <c r="D213" s="218">
        <f>130.4/90.3*155.2</f>
        <v>224.1204872646733</v>
      </c>
      <c r="E213" s="218">
        <f>131/99.8*111.7</f>
        <v>146.62024048096194</v>
      </c>
      <c r="F213" s="199">
        <f>+F$173*(115.9/103.6)</f>
        <v>117.49686475647272</v>
      </c>
      <c r="G213" s="163">
        <v>1.58</v>
      </c>
      <c r="H213" s="137">
        <f t="shared" si="35"/>
        <v>130.74571637608227</v>
      </c>
    </row>
    <row r="214" spans="1:11" ht="15">
      <c r="A214" s="32">
        <f t="shared" si="36"/>
        <v>2022</v>
      </c>
      <c r="B214" s="33" t="s">
        <v>31</v>
      </c>
      <c r="C214" s="157">
        <f>145.9*1.0101</f>
        <v>147.37359</v>
      </c>
      <c r="D214" s="217">
        <f>130.4/90.3*163</f>
        <v>235.3842746400886</v>
      </c>
      <c r="E214" s="217">
        <f>131/99.8*112.7</f>
        <v>147.93286573146295</v>
      </c>
      <c r="F214" s="222">
        <f>+F$173*(116.1/103.6)</f>
        <v>117.69962034707922</v>
      </c>
      <c r="G214" s="159">
        <v>1.84</v>
      </c>
      <c r="H214" s="66">
        <f t="shared" si="35"/>
        <v>132.91404464500877</v>
      </c>
      <c r="K214" s="207"/>
    </row>
    <row r="215" spans="1:27" ht="15">
      <c r="A215" s="32">
        <f t="shared" si="36"/>
        <v>2022</v>
      </c>
      <c r="B215" s="187" t="s">
        <v>14</v>
      </c>
      <c r="C215" s="157">
        <f>145.9*1.0101</f>
        <v>147.37359</v>
      </c>
      <c r="D215" s="217">
        <f>130.4/90.3*180.2</f>
        <v>260.2223698781838</v>
      </c>
      <c r="E215" s="217">
        <f>131/99.8*113.6</f>
        <v>149.11422845691382</v>
      </c>
      <c r="F215" s="198">
        <f>+F$173*(116.6/103.6)</f>
        <v>118.20650932359551</v>
      </c>
      <c r="G215" s="159">
        <v>2.07</v>
      </c>
      <c r="H215" s="66">
        <f t="shared" si="35"/>
        <v>136.28907741092232</v>
      </c>
      <c r="W215" s="67"/>
      <c r="X215" s="67"/>
      <c r="Y215" s="67"/>
      <c r="Z215" s="67"/>
      <c r="AA215" s="67"/>
    </row>
    <row r="216" spans="1:27" ht="15">
      <c r="A216" s="63">
        <f t="shared" si="36"/>
        <v>2022</v>
      </c>
      <c r="B216" s="64" t="s">
        <v>15</v>
      </c>
      <c r="C216" s="160">
        <f>145.9*1.0101</f>
        <v>147.37359</v>
      </c>
      <c r="D216" s="202">
        <f>130.4/90.3*172.1</f>
        <v>248.5253599114064</v>
      </c>
      <c r="E216" s="202">
        <f>131/99.8*114.9</f>
        <v>150.82064128256513</v>
      </c>
      <c r="F216" s="200">
        <f>+F$173*(117.7/103.6)</f>
        <v>119.32166507193132</v>
      </c>
      <c r="G216" s="161">
        <v>1.9</v>
      </c>
      <c r="H216" s="181">
        <f t="shared" si="35"/>
        <v>134.90429434343835</v>
      </c>
      <c r="W216" s="67"/>
      <c r="X216" s="67"/>
      <c r="Y216" s="67"/>
      <c r="Z216" s="67"/>
      <c r="AA216" s="67"/>
    </row>
    <row r="217" spans="1:27" ht="15">
      <c r="A217" s="32">
        <f t="shared" si="36"/>
        <v>2022</v>
      </c>
      <c r="B217" s="71" t="s">
        <v>16</v>
      </c>
      <c r="C217" s="157">
        <f>147.2*1.0101</f>
        <v>148.68671999999998</v>
      </c>
      <c r="D217" s="217">
        <f>130.4/90.3*159.8</f>
        <v>230.76323366555928</v>
      </c>
      <c r="E217" s="217">
        <f>131/99.8*114.9</f>
        <v>150.82064128256513</v>
      </c>
      <c r="F217" s="222">
        <f>+F$173*(118.4/103.6)</f>
        <v>120.03130963905411</v>
      </c>
      <c r="G217" s="159">
        <v>2.52</v>
      </c>
      <c r="H217" s="66">
        <f t="shared" si="35"/>
        <v>134.36089140688597</v>
      </c>
      <c r="W217" s="67"/>
      <c r="X217" s="67"/>
      <c r="Y217" s="67"/>
      <c r="Z217" s="67"/>
      <c r="AA217" s="67"/>
    </row>
    <row r="218" spans="1:27" ht="15">
      <c r="A218" s="32">
        <f t="shared" si="36"/>
        <v>2022</v>
      </c>
      <c r="B218" s="33" t="s">
        <v>17</v>
      </c>
      <c r="C218" s="157">
        <f>147.2*1.0101</f>
        <v>148.68671999999998</v>
      </c>
      <c r="D218" s="217">
        <f>130.4/90.3*160.9</f>
        <v>232.35171650055372</v>
      </c>
      <c r="E218" s="217">
        <f>131/99.8*116.4</f>
        <v>152.78957915831666</v>
      </c>
      <c r="F218" s="198">
        <f>+F$173*(118.5/103.6)</f>
        <v>120.13268743435736</v>
      </c>
      <c r="G218" s="159">
        <v>3.22</v>
      </c>
      <c r="H218" s="66">
        <f>100+((C218-$C$40)/$C$40*100*$C$2)+((D218-$D$40)/$D$40*100*$D$2)+((E218-$E$40)/$E$40*100*$E$2)+((F218-$F$40)/$F$40*100*$F$2)+((G218-$G$40)/$G$40*100*$G$2)</f>
        <v>135.5762728004265</v>
      </c>
      <c r="W218" s="67"/>
      <c r="X218" s="67"/>
      <c r="Y218" s="67"/>
      <c r="Z218" s="67"/>
      <c r="AA218" s="67"/>
    </row>
    <row r="219" spans="1:8" ht="17.25" customHeight="1" thickBot="1">
      <c r="A219" s="72">
        <f t="shared" si="36"/>
        <v>2022</v>
      </c>
      <c r="B219" s="73" t="s">
        <v>18</v>
      </c>
      <c r="C219" s="162">
        <f>147.2*1.0101</f>
        <v>148.68671999999998</v>
      </c>
      <c r="D219" s="218">
        <f>130.4/90.3*174.6</f>
        <v>252.13554817275747</v>
      </c>
      <c r="E219" s="218">
        <f>131/99.8*117.6</f>
        <v>154.36472945891785</v>
      </c>
      <c r="F219" s="199">
        <f>+F$173*(120.6/103.6)</f>
        <v>122.2616211357257</v>
      </c>
      <c r="G219" s="163">
        <v>3.06</v>
      </c>
      <c r="H219" s="137">
        <f t="shared" si="35"/>
        <v>138.03666081619983</v>
      </c>
    </row>
    <row r="220" spans="1:26" ht="15">
      <c r="A220" s="74">
        <v>2023</v>
      </c>
      <c r="B220" s="88" t="s">
        <v>8</v>
      </c>
      <c r="C220" s="240">
        <f>148.2*1.0101</f>
        <v>149.69681999999997</v>
      </c>
      <c r="D220" s="241">
        <f>130.4/90.3*161.3</f>
        <v>232.9293466223699</v>
      </c>
      <c r="E220" s="241">
        <f>131/99.8*116.6</f>
        <v>153.05210420841684</v>
      </c>
      <c r="F220" s="242">
        <f>+F$173*(120.9/103.6)</f>
        <v>122.56575452163548</v>
      </c>
      <c r="G220" s="243">
        <v>2.86</v>
      </c>
      <c r="H220" s="244">
        <f aca="true" t="shared" si="37" ref="H220:H225">100+((C220-$C$40)/$C$40*100*$C$2)+((D220-$D$40)/$D$40*100*$D$2)+((E220-$E$40)/$E$40*100*$E$2)+((F220-$F$40)/$F$40*100*$F$2)+((G220-$G$40)/$G$40*100*$G$2)</f>
        <v>135.99397395594627</v>
      </c>
      <c r="L220" s="201"/>
      <c r="V220" s="67"/>
      <c r="W220" s="67"/>
      <c r="X220" s="67"/>
      <c r="Y220" s="67"/>
      <c r="Z220" s="67"/>
    </row>
    <row r="221" spans="1:26" ht="15">
      <c r="A221" s="32">
        <f>A220</f>
        <v>2023</v>
      </c>
      <c r="B221" s="187" t="s">
        <v>9</v>
      </c>
      <c r="C221" s="157">
        <f>148.2*1.0101</f>
        <v>149.69681999999997</v>
      </c>
      <c r="D221" s="217">
        <f>130.4/90.3*144.7</f>
        <v>208.9576965669989</v>
      </c>
      <c r="E221" s="217">
        <f>131/99.8*115.9</f>
        <v>152.13326653306615</v>
      </c>
      <c r="F221" s="198">
        <f>+F$173*(121/103.6)</f>
        <v>122.66713231693873</v>
      </c>
      <c r="G221" s="159">
        <v>3.33</v>
      </c>
      <c r="H221" s="66">
        <f t="shared" si="37"/>
        <v>133.67715512445682</v>
      </c>
      <c r="L221" s="201"/>
      <c r="V221" s="67"/>
      <c r="W221" s="67"/>
      <c r="X221" s="67"/>
      <c r="Y221" s="67"/>
      <c r="Z221" s="67"/>
    </row>
    <row r="222" spans="1:12" ht="15">
      <c r="A222" s="32">
        <f aca="true" t="shared" si="38" ref="A222:A231">A221</f>
        <v>2023</v>
      </c>
      <c r="B222" s="64" t="s">
        <v>10</v>
      </c>
      <c r="C222" s="160">
        <f>148.2*1.0101</f>
        <v>149.69681999999997</v>
      </c>
      <c r="D222" s="202">
        <f>130.4/90.3*150.8</f>
        <v>217.7665559246955</v>
      </c>
      <c r="E222" s="202">
        <f>131/99.8*116.4</f>
        <v>152.78957915831666</v>
      </c>
      <c r="F222" s="200">
        <f>+F$173*(122.7/103.6)</f>
        <v>124.39055483709409</v>
      </c>
      <c r="G222" s="161">
        <v>3.26</v>
      </c>
      <c r="H222" s="181">
        <f t="shared" si="37"/>
        <v>134.84297792753796</v>
      </c>
      <c r="L222" s="201"/>
    </row>
    <row r="223" spans="1:12" ht="15">
      <c r="A223" s="32">
        <f t="shared" si="38"/>
        <v>2023</v>
      </c>
      <c r="B223" s="71" t="s">
        <v>11</v>
      </c>
      <c r="C223" s="157">
        <f>149.4*1.0101</f>
        <v>150.90894</v>
      </c>
      <c r="D223" s="217">
        <f>130.4/90.3*144.3</f>
        <v>208.38006644518276</v>
      </c>
      <c r="E223" s="217">
        <f>131/99.8*117.5</f>
        <v>154.23346693386776</v>
      </c>
      <c r="F223" s="198">
        <f>+F$173*(122.3/103.6)</f>
        <v>123.98504365588106</v>
      </c>
      <c r="G223" s="159">
        <v>3.58</v>
      </c>
      <c r="H223" s="66">
        <f t="shared" si="37"/>
        <v>134.86015752764487</v>
      </c>
      <c r="L223" s="201"/>
    </row>
    <row r="224" spans="1:12" ht="15">
      <c r="A224" s="32">
        <f t="shared" si="38"/>
        <v>2023</v>
      </c>
      <c r="B224" s="33" t="s">
        <v>12</v>
      </c>
      <c r="C224" s="157">
        <f>149.4*1.0101</f>
        <v>150.90894</v>
      </c>
      <c r="D224" s="217">
        <f>130.4/90.3*141.1</f>
        <v>203.75902547065337</v>
      </c>
      <c r="E224" s="217">
        <f>131/99.8*117.3</f>
        <v>153.97094188376755</v>
      </c>
      <c r="F224" s="198">
        <f>+F$173*(122.9/103.6)</f>
        <v>124.59331042770057</v>
      </c>
      <c r="G224" s="159">
        <v>3.32</v>
      </c>
      <c r="H224" s="66">
        <f t="shared" si="37"/>
        <v>134.02118502417233</v>
      </c>
      <c r="L224" s="201"/>
    </row>
    <row r="225" spans="1:12" ht="15.75" thickBot="1">
      <c r="A225" s="72">
        <f t="shared" si="38"/>
        <v>2023</v>
      </c>
      <c r="B225" s="73" t="s">
        <v>13</v>
      </c>
      <c r="C225" s="162">
        <f>149.4*1.0101</f>
        <v>150.90894</v>
      </c>
      <c r="D225" s="218">
        <f>130.4/90.3*135.6</f>
        <v>195.81661129568107</v>
      </c>
      <c r="E225" s="218">
        <f>131/99.8*117.6</f>
        <v>154.36472945891785</v>
      </c>
      <c r="F225" s="199">
        <f>+F$173*(123/103.6)</f>
        <v>124.69468822300382</v>
      </c>
      <c r="G225" s="163">
        <v>3.35</v>
      </c>
      <c r="H225" s="137">
        <f t="shared" si="37"/>
        <v>133.1500672061686</v>
      </c>
      <c r="L225" s="201"/>
    </row>
    <row r="226" spans="1:12" ht="15">
      <c r="A226" s="32">
        <f t="shared" si="38"/>
        <v>2023</v>
      </c>
      <c r="B226" s="75" t="s">
        <v>31</v>
      </c>
      <c r="C226" s="157">
        <f>150.8*1.0101</f>
        <v>152.32308</v>
      </c>
      <c r="D226" s="217">
        <f>130.4/90.3*127.9</f>
        <v>184.69723145071984</v>
      </c>
      <c r="E226" s="217">
        <f>131/99.8*116</f>
        <v>152.26452905811624</v>
      </c>
      <c r="F226" s="222">
        <f>+F$173*(122.7/103.6)</f>
        <v>124.39055483709409</v>
      </c>
      <c r="G226" s="159">
        <v>3.45</v>
      </c>
      <c r="H226" s="66">
        <f aca="true" t="shared" si="39" ref="H226:H232">100+((C226-$C$40)/$C$40*100*$C$2)+((D226-$D$40)/$D$40*100*$D$2)+((E226-$E$40)/$E$40*100*$E$2)+((F226-$F$40)/$F$40*100*$F$2)+((G226-$G$40)/$G$40*100*$G$2)</f>
        <v>132.55975256527307</v>
      </c>
      <c r="L226" s="201"/>
    </row>
    <row r="227" spans="1:12" ht="15">
      <c r="A227" s="32">
        <f t="shared" si="38"/>
        <v>2023</v>
      </c>
      <c r="B227" s="33" t="s">
        <v>14</v>
      </c>
      <c r="C227" s="157">
        <f>150.8*1.0101</f>
        <v>152.32308</v>
      </c>
      <c r="D227" s="217">
        <f>130.4/90.3*131</f>
        <v>189.17386489479514</v>
      </c>
      <c r="E227" s="217">
        <f>131/99.8*116.4</f>
        <v>152.78957915831666</v>
      </c>
      <c r="F227" s="198">
        <f>+F$173*(123.3/103.6)</f>
        <v>124.9988216089136</v>
      </c>
      <c r="G227" s="159">
        <v>3.69</v>
      </c>
      <c r="H227" s="66">
        <f t="shared" si="39"/>
        <v>133.487318017577</v>
      </c>
      <c r="L227" s="201"/>
    </row>
    <row r="228" spans="1:12" ht="15">
      <c r="A228" s="32">
        <f t="shared" si="38"/>
        <v>2023</v>
      </c>
      <c r="B228" s="64" t="s">
        <v>15</v>
      </c>
      <c r="C228" s="160">
        <f>150.8*1.0101</f>
        <v>152.32308</v>
      </c>
      <c r="D228" s="202">
        <f>130.4/90.3*132.4</f>
        <v>191.19557032115173</v>
      </c>
      <c r="E228" s="202">
        <f>131/99.8*118.5</f>
        <v>155.54609218436875</v>
      </c>
      <c r="F228" s="200">
        <f>+F$173*(124.6/103.6)</f>
        <v>126.31673294785591</v>
      </c>
      <c r="G228" s="161">
        <v>3.67</v>
      </c>
      <c r="H228" s="181">
        <f>100+((C228-$C$40)/$C$40*100*$C$2)+((D228-$D$40)/$D$40*100*$D$2)+((E228-$E$40)/$E$40*100*$E$2)+((F228-$F$40)/$F$40*100*$F$2)+((G228-$G$40)/$G$40*100*$G$2)</f>
        <v>134.01592181249458</v>
      </c>
      <c r="L228" s="201"/>
    </row>
    <row r="229" spans="1:12" ht="15">
      <c r="A229" s="32">
        <f t="shared" si="38"/>
        <v>2023</v>
      </c>
      <c r="B229" s="71" t="s">
        <v>16</v>
      </c>
      <c r="C229" s="157">
        <f>151.6*1.0101</f>
        <v>153.13116</v>
      </c>
      <c r="D229" s="217">
        <f>130.4/90.3*145</f>
        <v>209.39091915836102</v>
      </c>
      <c r="E229" s="217">
        <f>131/99.8*117.7</f>
        <v>154.49599198396794</v>
      </c>
      <c r="F229" s="198">
        <f>+F$173*(124.3/103.6)</f>
        <v>126.01259956194616</v>
      </c>
      <c r="G229" s="159">
        <v>3.67</v>
      </c>
      <c r="H229" s="66">
        <f>100+((C229-$C$40)/$C$40*100*$C$2)+((D229-$D$40)/$D$40*100*$D$2)+((E229-$E$40)/$E$40*100*$E$2)+((F229-$F$40)/$F$40*100*$F$2)+((G229-$G$40)/$G$40*100*$G$2)</f>
        <v>136.52756409472568</v>
      </c>
      <c r="L229" s="201"/>
    </row>
    <row r="230" spans="1:12" ht="15">
      <c r="A230" s="32">
        <f t="shared" si="38"/>
        <v>2023</v>
      </c>
      <c r="B230" s="33" t="s">
        <v>17</v>
      </c>
      <c r="C230" s="157">
        <f>151.6*1.0101</f>
        <v>153.13116</v>
      </c>
      <c r="D230" s="217">
        <f>130.4/90.3*150.3</f>
        <v>217.04451827242528</v>
      </c>
      <c r="E230" s="217">
        <f>131/99.8*117.4</f>
        <v>154.10220440881764</v>
      </c>
      <c r="F230" s="198">
        <f>+F$173*(124/103.6)</f>
        <v>125.70846617603638</v>
      </c>
      <c r="G230" s="159">
        <v>3.81</v>
      </c>
      <c r="H230" s="66">
        <f>100+((C230-$C$40)/$C$40*100*$C$2)+((D230-$D$40)/$D$40*100*$D$2)+((E230-$E$40)/$E$40*100*$E$2)+((F230-$F$40)/$F$40*100*$F$2)+((G230-$G$40)/$G$40*100*$G$2)</f>
        <v>137.5593426452115</v>
      </c>
      <c r="L230" s="201"/>
    </row>
    <row r="231" spans="1:8" ht="15.75" thickBot="1">
      <c r="A231" s="32">
        <f t="shared" si="38"/>
        <v>2023</v>
      </c>
      <c r="B231" s="73" t="s">
        <v>18</v>
      </c>
      <c r="C231" s="162">
        <f>151.6*1.0101</f>
        <v>153.13116</v>
      </c>
      <c r="D231" s="226">
        <f aca="true" t="shared" si="40" ref="D231:D243">D230</f>
        <v>217.04451827242528</v>
      </c>
      <c r="E231" s="226">
        <f>E230*(1+(((SUM(E$208:E$219)-SUM(E$196:E$207))/SUM(E$196:E$207))/12))</f>
        <v>154.97228444961496</v>
      </c>
      <c r="F231" s="226">
        <f>F230*(1+(((SUM(F$208:F$219)-SUM(F$196:F$207))/SUM(F$196:F$207))/12))</f>
        <v>126.4359794443012</v>
      </c>
      <c r="G231" s="227">
        <f aca="true" t="shared" si="41" ref="G231:G243">+G230</f>
        <v>3.81</v>
      </c>
      <c r="H231" s="228">
        <f t="shared" si="39"/>
        <v>137.68703964326792</v>
      </c>
    </row>
    <row r="232" spans="1:8" ht="15">
      <c r="A232" s="74">
        <v>2024</v>
      </c>
      <c r="B232" s="187" t="s">
        <v>8</v>
      </c>
      <c r="C232" s="171">
        <f>C229*(1+(((SUM(C$220:C$231)-SUM(C$208:C$219))/SUM(C$208:C$219))/4))</f>
        <v>154.2339564197531</v>
      </c>
      <c r="D232" s="171">
        <f t="shared" si="40"/>
        <v>217.04451827242528</v>
      </c>
      <c r="E232" s="171">
        <f>E231*(1+(((SUM(E$220:E$231)-SUM(E$208:E$219))/SUM(E$208:E$219))/12))</f>
        <v>155.57498831554796</v>
      </c>
      <c r="F232" s="171">
        <f>F231*(1+(((SUM(F$220:F$231)-SUM(F$208:F$219))/SUM(F$208:F$219))/12))</f>
        <v>127.13630320976272</v>
      </c>
      <c r="G232" s="98">
        <f t="shared" si="41"/>
        <v>3.81</v>
      </c>
      <c r="H232" s="178">
        <f t="shared" si="39"/>
        <v>138.40297673005605</v>
      </c>
    </row>
    <row r="233" spans="1:8" ht="15">
      <c r="A233" s="32">
        <f>A232</f>
        <v>2024</v>
      </c>
      <c r="B233" s="187" t="s">
        <v>9</v>
      </c>
      <c r="C233" s="171">
        <f aca="true" t="shared" si="42" ref="C233:C242">C230*(1+(((SUM(C$220:C$231)-SUM(C$208:C$219))/SUM(C$208:C$219))/4))</f>
        <v>154.2339564197531</v>
      </c>
      <c r="D233" s="171">
        <f t="shared" si="40"/>
        <v>217.04451827242528</v>
      </c>
      <c r="E233" s="171">
        <f aca="true" t="shared" si="43" ref="E233:E243">E232*(1+(((SUM(E$220:E$231)-SUM(E$208:E$219))/SUM(E$208:E$219))/12))</f>
        <v>156.18003616157586</v>
      </c>
      <c r="F233" s="171">
        <f aca="true" t="shared" si="44" ref="F233:F243">F232*(1+(((SUM(F$220:F$231)-SUM(F$208:F$219))/SUM(F$208:F$219))/12))</f>
        <v>127.84050604017573</v>
      </c>
      <c r="G233" s="98">
        <f t="shared" si="41"/>
        <v>3.81</v>
      </c>
      <c r="H233" s="178">
        <f aca="true" t="shared" si="45" ref="H233:H243">100+((C233-$C$40)/$C$40*100*$C$2)+((D233-$D$40)/$D$40*100*$D$2)+((E233-$E$40)/$E$40*100*$E$2)+((F233-$F$40)/$F$40*100*$F$2)+((G233-$G$40)/$G$40*100*$G$2)</f>
        <v>138.51015592310546</v>
      </c>
    </row>
    <row r="234" spans="1:8" ht="15">
      <c r="A234" s="32">
        <f aca="true" t="shared" si="46" ref="A234:A243">A233</f>
        <v>2024</v>
      </c>
      <c r="B234" s="64" t="s">
        <v>10</v>
      </c>
      <c r="C234" s="172">
        <f t="shared" si="42"/>
        <v>154.2339564197531</v>
      </c>
      <c r="D234" s="172">
        <f t="shared" si="40"/>
        <v>217.04451827242528</v>
      </c>
      <c r="E234" s="172">
        <f t="shared" si="43"/>
        <v>156.7874371036891</v>
      </c>
      <c r="F234" s="172">
        <f t="shared" si="44"/>
        <v>128.54860942152376</v>
      </c>
      <c r="G234" s="99">
        <f t="shared" si="41"/>
        <v>3.81</v>
      </c>
      <c r="H234" s="179">
        <f t="shared" si="45"/>
        <v>138.61785963523735</v>
      </c>
    </row>
    <row r="235" spans="1:8" ht="15">
      <c r="A235" s="32">
        <f t="shared" si="46"/>
        <v>2024</v>
      </c>
      <c r="B235" s="71" t="s">
        <v>11</v>
      </c>
      <c r="C235" s="171">
        <f t="shared" si="42"/>
        <v>155.34469478903117</v>
      </c>
      <c r="D235" s="173">
        <f t="shared" si="40"/>
        <v>217.04451827242528</v>
      </c>
      <c r="E235" s="171">
        <f t="shared" si="43"/>
        <v>157.3972002933312</v>
      </c>
      <c r="F235" s="171">
        <f t="shared" si="44"/>
        <v>129.26063495880038</v>
      </c>
      <c r="G235" s="170">
        <f t="shared" si="41"/>
        <v>3.81</v>
      </c>
      <c r="H235" s="178">
        <f t="shared" si="45"/>
        <v>139.33975811017652</v>
      </c>
    </row>
    <row r="236" spans="1:8" ht="15">
      <c r="A236" s="32">
        <f t="shared" si="46"/>
        <v>2024</v>
      </c>
      <c r="B236" s="33" t="s">
        <v>12</v>
      </c>
      <c r="C236" s="171">
        <f t="shared" si="42"/>
        <v>155.34469478903117</v>
      </c>
      <c r="D236" s="171">
        <f t="shared" si="40"/>
        <v>217.04451827242528</v>
      </c>
      <c r="E236" s="171">
        <f t="shared" si="43"/>
        <v>158.00933491753662</v>
      </c>
      <c r="F236" s="171">
        <f t="shared" si="44"/>
        <v>129.9766043766683</v>
      </c>
      <c r="G236" s="98">
        <f t="shared" si="41"/>
        <v>3.81</v>
      </c>
      <c r="H236" s="178">
        <f t="shared" si="45"/>
        <v>139.44851878319682</v>
      </c>
    </row>
    <row r="237" spans="1:8" ht="15">
      <c r="A237" s="32">
        <f t="shared" si="46"/>
        <v>2024</v>
      </c>
      <c r="B237" s="64" t="s">
        <v>13</v>
      </c>
      <c r="C237" s="172">
        <f t="shared" si="42"/>
        <v>155.34469478903117</v>
      </c>
      <c r="D237" s="172">
        <f t="shared" si="40"/>
        <v>217.04451827242528</v>
      </c>
      <c r="E237" s="172">
        <f t="shared" si="43"/>
        <v>158.6238501990692</v>
      </c>
      <c r="F237" s="172">
        <f t="shared" si="44"/>
        <v>130.69653952012223</v>
      </c>
      <c r="G237" s="99">
        <f t="shared" si="41"/>
        <v>3.81</v>
      </c>
      <c r="H237" s="179">
        <f t="shared" si="45"/>
        <v>139.5578119252082</v>
      </c>
    </row>
    <row r="238" spans="1:8" ht="15">
      <c r="A238" s="32">
        <f t="shared" si="46"/>
        <v>2024</v>
      </c>
      <c r="B238" s="75" t="s">
        <v>31</v>
      </c>
      <c r="C238" s="171">
        <f t="shared" si="42"/>
        <v>156.46343230294397</v>
      </c>
      <c r="D238" s="171">
        <f t="shared" si="40"/>
        <v>217.04451827242528</v>
      </c>
      <c r="E238" s="171">
        <f t="shared" si="43"/>
        <v>159.24075539656107</v>
      </c>
      <c r="F238" s="171">
        <f t="shared" si="44"/>
        <v>131.42046235515545</v>
      </c>
      <c r="G238" s="98">
        <f t="shared" si="41"/>
        <v>3.81</v>
      </c>
      <c r="H238" s="178">
        <f t="shared" si="45"/>
        <v>140.28572723774533</v>
      </c>
    </row>
    <row r="239" spans="1:8" ht="15">
      <c r="A239" s="32">
        <f t="shared" si="46"/>
        <v>2024</v>
      </c>
      <c r="B239" s="33" t="s">
        <v>14</v>
      </c>
      <c r="C239" s="171">
        <f t="shared" si="42"/>
        <v>156.46343230294397</v>
      </c>
      <c r="D239" s="171">
        <f t="shared" si="40"/>
        <v>217.04451827242528</v>
      </c>
      <c r="E239" s="171">
        <f t="shared" si="43"/>
        <v>159.8600598046522</v>
      </c>
      <c r="F239" s="171">
        <f t="shared" si="44"/>
        <v>132.14839496943003</v>
      </c>
      <c r="G239" s="98">
        <f t="shared" si="41"/>
        <v>3.81</v>
      </c>
      <c r="H239" s="178">
        <f t="shared" si="45"/>
        <v>140.39609336333046</v>
      </c>
    </row>
    <row r="240" spans="1:8" ht="15">
      <c r="A240" s="32">
        <f t="shared" si="46"/>
        <v>2024</v>
      </c>
      <c r="B240" s="64" t="s">
        <v>15</v>
      </c>
      <c r="C240" s="172">
        <f t="shared" si="42"/>
        <v>156.46343230294397</v>
      </c>
      <c r="D240" s="172">
        <f t="shared" si="40"/>
        <v>217.04451827242528</v>
      </c>
      <c r="E240" s="172">
        <f t="shared" si="43"/>
        <v>160.4817727541304</v>
      </c>
      <c r="F240" s="172">
        <f t="shared" si="44"/>
        <v>132.88035957295062</v>
      </c>
      <c r="G240" s="99">
        <f t="shared" si="41"/>
        <v>3.81</v>
      </c>
      <c r="H240" s="179">
        <f t="shared" si="45"/>
        <v>140.50700003111297</v>
      </c>
    </row>
    <row r="241" spans="1:8" ht="15">
      <c r="A241" s="32">
        <f t="shared" si="46"/>
        <v>2024</v>
      </c>
      <c r="B241" s="33" t="s">
        <v>16</v>
      </c>
      <c r="C241" s="171">
        <f t="shared" si="42"/>
        <v>157.59022656850016</v>
      </c>
      <c r="D241" s="171">
        <f t="shared" si="40"/>
        <v>217.04451827242528</v>
      </c>
      <c r="E241" s="171">
        <f t="shared" si="43"/>
        <v>161.1059036120719</v>
      </c>
      <c r="F241" s="171">
        <f t="shared" si="44"/>
        <v>133.61637849874228</v>
      </c>
      <c r="G241" s="98">
        <f t="shared" si="41"/>
        <v>3.81</v>
      </c>
      <c r="H241" s="178">
        <f t="shared" si="45"/>
        <v>141.2409882281601</v>
      </c>
    </row>
    <row r="242" spans="1:8" ht="15">
      <c r="A242" s="32">
        <f t="shared" si="46"/>
        <v>2024</v>
      </c>
      <c r="B242" s="33" t="s">
        <v>17</v>
      </c>
      <c r="C242" s="171">
        <f t="shared" si="42"/>
        <v>157.59022656850016</v>
      </c>
      <c r="D242" s="171">
        <f t="shared" si="40"/>
        <v>217.04451827242528</v>
      </c>
      <c r="E242" s="171">
        <f t="shared" si="43"/>
        <v>161.73246178198255</v>
      </c>
      <c r="F242" s="171">
        <f t="shared" si="44"/>
        <v>134.3564742035317</v>
      </c>
      <c r="G242" s="98">
        <f t="shared" si="41"/>
        <v>3.81</v>
      </c>
      <c r="H242" s="178">
        <f t="shared" si="45"/>
        <v>141.3529841507387</v>
      </c>
    </row>
    <row r="243" spans="1:8" ht="15">
      <c r="A243" s="32">
        <f t="shared" si="46"/>
        <v>2024</v>
      </c>
      <c r="B243" s="33" t="s">
        <v>18</v>
      </c>
      <c r="C243" s="171">
        <f>C240*(1+(((SUM(C$220:C$231)-SUM(C$208:C$219))/SUM(C$208:C$219))/4))</f>
        <v>157.59022656850016</v>
      </c>
      <c r="D243" s="171">
        <f t="shared" si="40"/>
        <v>217.04451827242528</v>
      </c>
      <c r="E243" s="171">
        <f t="shared" si="43"/>
        <v>162.3614567039394</v>
      </c>
      <c r="F243" s="171">
        <f t="shared" si="44"/>
        <v>135.1006692684325</v>
      </c>
      <c r="G243" s="98">
        <f t="shared" si="41"/>
        <v>3.81</v>
      </c>
      <c r="H243" s="178">
        <f t="shared" si="45"/>
        <v>141.46552881396718</v>
      </c>
    </row>
    <row r="244" spans="1:10" ht="12.75">
      <c r="A244" s="208" t="s">
        <v>43</v>
      </c>
      <c r="B244" s="208"/>
      <c r="C244" s="208"/>
      <c r="D244" s="208"/>
      <c r="E244" s="208"/>
      <c r="F244" s="208"/>
      <c r="G244" s="208"/>
      <c r="H244" s="209"/>
      <c r="I244" s="208"/>
      <c r="J244" s="208"/>
    </row>
    <row r="245" spans="1:10" ht="12.75">
      <c r="A245" s="208" t="s">
        <v>44</v>
      </c>
      <c r="B245" s="208"/>
      <c r="C245" s="208"/>
      <c r="D245" s="208"/>
      <c r="E245" s="208"/>
      <c r="F245" s="208"/>
      <c r="G245" s="208"/>
      <c r="H245" s="209"/>
      <c r="I245" s="208"/>
      <c r="J245" s="208"/>
    </row>
    <row r="246" spans="1:10" ht="12.75">
      <c r="A246" s="208" t="s">
        <v>46</v>
      </c>
      <c r="B246" s="208"/>
      <c r="C246" s="208"/>
      <c r="D246" s="208"/>
      <c r="E246" s="208"/>
      <c r="F246" s="208"/>
      <c r="G246" s="208"/>
      <c r="H246" s="209"/>
      <c r="I246" s="208"/>
      <c r="J246" s="208"/>
    </row>
    <row r="247" spans="1:10" ht="12.75">
      <c r="A247" s="210" t="s">
        <v>76</v>
      </c>
      <c r="B247" s="210" t="s">
        <v>78</v>
      </c>
      <c r="C247" s="210"/>
      <c r="D247" s="210"/>
      <c r="E247" s="210"/>
      <c r="F247" s="210"/>
      <c r="G247" s="210"/>
      <c r="H247" s="211"/>
      <c r="I247" s="210"/>
      <c r="J247" s="210"/>
    </row>
    <row r="248" spans="1:10" ht="12.75">
      <c r="A248" s="210" t="s">
        <v>77</v>
      </c>
      <c r="B248" s="210" t="s">
        <v>80</v>
      </c>
      <c r="C248" s="210"/>
      <c r="D248" s="210"/>
      <c r="E248" s="210"/>
      <c r="F248" s="210"/>
      <c r="G248" s="210"/>
      <c r="H248" s="211"/>
      <c r="I248" s="210"/>
      <c r="J248" s="210"/>
    </row>
    <row r="249" spans="1:10" ht="12.75">
      <c r="A249" s="204" t="s">
        <v>71</v>
      </c>
      <c r="B249" s="206" t="s">
        <v>75</v>
      </c>
      <c r="C249" s="206"/>
      <c r="D249" s="206"/>
      <c r="E249" s="206"/>
      <c r="F249" s="206"/>
      <c r="G249" s="206"/>
      <c r="H249" s="206"/>
      <c r="I249" s="206"/>
      <c r="J249" s="206"/>
    </row>
  </sheetData>
  <sheetProtection/>
  <printOptions/>
  <pageMargins left="0.7480314960629921" right="0.7480314960629921" top="0.7874015748031497" bottom="0.3937007874015748" header="0" footer="0"/>
  <pageSetup fitToHeight="0" fitToWidth="1" horizontalDpi="600" verticalDpi="600" orientation="portrait" paperSize="9" scale="90" r:id="rId5"/>
  <headerFooter alignWithMargins="0">
    <oddHeader>&amp;L&amp;G&amp;R&amp;14
&amp;"Arial,Fed"Omkostningsindeks</oddHeader>
    <oddFooter>&amp;L&amp;D&amp;RKontaktinformation: FynBus (HNB/JNB)</oddFooter>
  </headerFooter>
  <rowBreaks count="1" manualBreakCount="1">
    <brk id="231" max="9" man="1"/>
  </rowBreaks>
  <legacyDrawing r:id="rId2"/>
  <legacyDrawingHF r:id="rId4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43"/>
  <sheetViews>
    <sheetView view="pageBreakPreview" zoomScale="96" zoomScaleSheetLayoutView="96" workbookViewId="0" topLeftCell="A201">
      <selection activeCell="F238" sqref="F238"/>
    </sheetView>
  </sheetViews>
  <sheetFormatPr defaultColWidth="9.140625" defaultRowHeight="12.75"/>
  <cols>
    <col min="2" max="2" width="9.57421875" style="0" customWidth="1"/>
    <col min="5" max="5" width="10.140625" style="0" customWidth="1"/>
    <col min="6" max="6" width="11.140625" style="0" customWidth="1"/>
    <col min="7" max="7" width="11.8515625" style="0" bestFit="1" customWidth="1"/>
  </cols>
  <sheetData>
    <row r="1" spans="1:7" ht="18">
      <c r="A1" s="1" t="s">
        <v>22</v>
      </c>
      <c r="C1" s="2"/>
      <c r="G1" s="100" t="s">
        <v>32</v>
      </c>
    </row>
    <row r="2" spans="3:7" ht="12.75">
      <c r="C2" s="3"/>
      <c r="D2" s="3"/>
      <c r="E2" s="3"/>
      <c r="F2" s="3"/>
      <c r="G2" s="3"/>
    </row>
    <row r="3" spans="1:8" ht="12.7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21</v>
      </c>
    </row>
    <row r="4" spans="1:8" ht="12.75" hidden="1">
      <c r="A4" s="8">
        <v>2005</v>
      </c>
      <c r="B4" s="13" t="s">
        <v>8</v>
      </c>
      <c r="C4" s="130" t="s">
        <v>19</v>
      </c>
      <c r="D4" s="131" t="s">
        <v>19</v>
      </c>
      <c r="E4" s="131" t="s">
        <v>19</v>
      </c>
      <c r="F4" s="131" t="s">
        <v>19</v>
      </c>
      <c r="G4" s="131" t="s">
        <v>19</v>
      </c>
      <c r="H4" s="131" t="s">
        <v>19</v>
      </c>
    </row>
    <row r="5" spans="1:8" ht="12.75" hidden="1">
      <c r="A5" s="12">
        <v>2005</v>
      </c>
      <c r="B5" s="13" t="s">
        <v>9</v>
      </c>
      <c r="C5" s="131" t="s">
        <v>19</v>
      </c>
      <c r="D5" s="131" t="s">
        <v>19</v>
      </c>
      <c r="E5" s="131" t="s">
        <v>19</v>
      </c>
      <c r="F5" s="131" t="s">
        <v>19</v>
      </c>
      <c r="G5" s="131" t="s">
        <v>19</v>
      </c>
      <c r="H5" s="131" t="s">
        <v>19</v>
      </c>
    </row>
    <row r="6" spans="1:8" ht="12.75" hidden="1">
      <c r="A6" s="16">
        <v>2005</v>
      </c>
      <c r="B6" s="17" t="s">
        <v>10</v>
      </c>
      <c r="C6" s="132" t="s">
        <v>19</v>
      </c>
      <c r="D6" s="132" t="s">
        <v>19</v>
      </c>
      <c r="E6" s="132" t="s">
        <v>19</v>
      </c>
      <c r="F6" s="132" t="s">
        <v>19</v>
      </c>
      <c r="G6" s="132" t="s">
        <v>19</v>
      </c>
      <c r="H6" s="132" t="s">
        <v>19</v>
      </c>
    </row>
    <row r="7" spans="1:8" ht="12.75" hidden="1">
      <c r="A7" s="21">
        <v>2005</v>
      </c>
      <c r="B7" s="22" t="s">
        <v>11</v>
      </c>
      <c r="C7" s="133" t="s">
        <v>19</v>
      </c>
      <c r="D7" s="133" t="s">
        <v>19</v>
      </c>
      <c r="E7" s="133" t="s">
        <v>19</v>
      </c>
      <c r="F7" s="133" t="s">
        <v>19</v>
      </c>
      <c r="G7" s="133" t="s">
        <v>19</v>
      </c>
      <c r="H7" s="133" t="s">
        <v>19</v>
      </c>
    </row>
    <row r="8" spans="1:8" ht="12.75" hidden="1">
      <c r="A8" s="12">
        <v>2005</v>
      </c>
      <c r="B8" s="13" t="s">
        <v>12</v>
      </c>
      <c r="C8" s="131" t="s">
        <v>19</v>
      </c>
      <c r="D8" s="131" t="s">
        <v>19</v>
      </c>
      <c r="E8" s="131" t="s">
        <v>19</v>
      </c>
      <c r="F8" s="131" t="s">
        <v>19</v>
      </c>
      <c r="G8" s="131" t="s">
        <v>19</v>
      </c>
      <c r="H8" s="131" t="s">
        <v>19</v>
      </c>
    </row>
    <row r="9" spans="1:8" ht="12.75" hidden="1">
      <c r="A9" s="16">
        <v>2005</v>
      </c>
      <c r="B9" s="17" t="s">
        <v>13</v>
      </c>
      <c r="C9" s="132" t="s">
        <v>19</v>
      </c>
      <c r="D9" s="132" t="s">
        <v>19</v>
      </c>
      <c r="E9" s="132" t="s">
        <v>19</v>
      </c>
      <c r="F9" s="132" t="s">
        <v>19</v>
      </c>
      <c r="G9" s="132" t="s">
        <v>19</v>
      </c>
      <c r="H9" s="132" t="s">
        <v>19</v>
      </c>
    </row>
    <row r="10" spans="1:8" ht="12.75" hidden="1">
      <c r="A10" s="21">
        <v>2005</v>
      </c>
      <c r="B10" s="26" t="s">
        <v>31</v>
      </c>
      <c r="C10" s="85">
        <f>(Indeks!C10/Indeks!$C$40*Indeks!$C$2)/Indeks!H10*100</f>
        <v>0.6118860767928112</v>
      </c>
      <c r="D10" s="85">
        <f>(Indeks!D10/Indeks!$D$40*Indeks!$D$2)/Indeks!H10*100</f>
        <v>0.15465639121680014</v>
      </c>
      <c r="E10" s="85">
        <f>(Indeks!E10/Indeks!$E$40*Indeks!$E$2)/Indeks!H10*100</f>
        <v>0.08461213647040498</v>
      </c>
      <c r="F10" s="85">
        <f>(Indeks!F10/Indeks!$F$40*Indeks!$F$2)/Indeks!H10*100</f>
        <v>0.10203726514736525</v>
      </c>
      <c r="G10" s="85">
        <f>(Indeks!G10/Indeks!$G$40*Indeks!$G$2)/Indeks!H10*100</f>
        <v>0.04680813037261838</v>
      </c>
      <c r="H10" s="85">
        <f aca="true" t="shared" si="0" ref="H10:H39">SUM(C10:G10)</f>
        <v>0.9999999999999999</v>
      </c>
    </row>
    <row r="11" spans="1:8" ht="12.75" hidden="1">
      <c r="A11" s="12">
        <v>2005</v>
      </c>
      <c r="B11" s="13" t="s">
        <v>14</v>
      </c>
      <c r="C11" s="83">
        <f>(Indeks!C11/Indeks!$C$40*Indeks!$C$2)/Indeks!H11*100</f>
        <v>0.6076115963504142</v>
      </c>
      <c r="D11" s="83">
        <f>(Indeks!D11/Indeks!$D$40*Indeks!$D$2)/Indeks!H11*100</f>
        <v>0.16090784761494437</v>
      </c>
      <c r="E11" s="83">
        <f>(Indeks!E11/Indeks!$E$40*Indeks!$E$2)/Indeks!H11*100</f>
        <v>0.0840972326435499</v>
      </c>
      <c r="F11" s="83">
        <f>(Indeks!F11/Indeks!$F$40*Indeks!$F$2)/Indeks!H11*100</f>
        <v>0.10173220307661329</v>
      </c>
      <c r="G11" s="83">
        <f>(Indeks!G11/Indeks!$G$40*Indeks!$G$2)/Indeks!H11*100</f>
        <v>0.045651120314478294</v>
      </c>
      <c r="H11" s="83">
        <f t="shared" si="0"/>
        <v>1</v>
      </c>
    </row>
    <row r="12" spans="1:8" ht="12.75" hidden="1">
      <c r="A12" s="16">
        <v>2005</v>
      </c>
      <c r="B12" s="17" t="s">
        <v>15</v>
      </c>
      <c r="C12" s="84">
        <f>(Indeks!C12/Indeks!$C$40*Indeks!$C$2)/Indeks!H12*100</f>
        <v>0.6043737729467487</v>
      </c>
      <c r="D12" s="84">
        <f>(Indeks!D12/Indeks!$D$40*Indeks!$D$2)/Indeks!H12*100</f>
        <v>0.1653897609372251</v>
      </c>
      <c r="E12" s="84">
        <f>(Indeks!E12/Indeks!$E$40*Indeks!$E$2)/Indeks!H12*100</f>
        <v>0.08357332859041228</v>
      </c>
      <c r="F12" s="84">
        <f>(Indeks!F12/Indeks!$F$40*Indeks!$F$2)/Indeks!H12*100</f>
        <v>0.10139288116686443</v>
      </c>
      <c r="G12" s="84">
        <f>(Indeks!G12/Indeks!$G$40*Indeks!$G$2)/Indeks!H12*100</f>
        <v>0.0452702563587496</v>
      </c>
      <c r="H12" s="84">
        <f t="shared" si="0"/>
        <v>1</v>
      </c>
    </row>
    <row r="13" spans="1:8" ht="12.75" hidden="1">
      <c r="A13" s="12">
        <v>2005</v>
      </c>
      <c r="B13" s="13" t="s">
        <v>16</v>
      </c>
      <c r="C13" s="85">
        <f>(Indeks!C13/Indeks!$C$40*Indeks!$C$2)/Indeks!H13*100</f>
        <v>0.6058977891903523</v>
      </c>
      <c r="D13" s="85">
        <f>(Indeks!D13/Indeks!$D$40*Indeks!$D$2)/Indeks!H13*100</f>
        <v>0.16433237064909859</v>
      </c>
      <c r="E13" s="85">
        <f>(Indeks!E13/Indeks!$E$40*Indeks!$E$2)/Indeks!H13*100</f>
        <v>0.0833672347025596</v>
      </c>
      <c r="F13" s="85">
        <f>(Indeks!F13/Indeks!$F$40*Indeks!$F$2)/Indeks!H13*100</f>
        <v>0.10124398666704326</v>
      </c>
      <c r="G13" s="85">
        <f>(Indeks!G13/Indeks!$G$40*Indeks!$G$2)/Indeks!H13*100</f>
        <v>0.04515861879094627</v>
      </c>
      <c r="H13" s="85">
        <f t="shared" si="0"/>
        <v>1</v>
      </c>
    </row>
    <row r="14" spans="1:8" ht="12.75" hidden="1">
      <c r="A14" s="12">
        <v>2005</v>
      </c>
      <c r="B14" s="13" t="s">
        <v>17</v>
      </c>
      <c r="C14" s="83">
        <f>(Indeks!C14/Indeks!$C$40*Indeks!$C$2)/Indeks!H14*100</f>
        <v>0.602241006989451</v>
      </c>
      <c r="D14" s="83">
        <f>(Indeks!D14/Indeks!$D$40*Indeks!$D$2)/Indeks!H14*100</f>
        <v>0.16811812389143332</v>
      </c>
      <c r="E14" s="83">
        <f>(Indeks!E14/Indeks!$E$40*Indeks!$E$2)/Indeks!H14*100</f>
        <v>0.08354022232303818</v>
      </c>
      <c r="F14" s="83">
        <f>(Indeks!F14/Indeks!$F$40*Indeks!$F$2)/Indeks!H14*100</f>
        <v>0.1005324152036743</v>
      </c>
      <c r="G14" s="83">
        <f>(Indeks!G14/Indeks!$G$40*Indeks!$G$2)/Indeks!H14*100</f>
        <v>0.045568231592403106</v>
      </c>
      <c r="H14" s="83">
        <f t="shared" si="0"/>
        <v>0.9999999999999999</v>
      </c>
    </row>
    <row r="15" spans="1:8" ht="13.5" hidden="1" thickBot="1">
      <c r="A15" s="38">
        <v>2005</v>
      </c>
      <c r="B15" s="39" t="s">
        <v>18</v>
      </c>
      <c r="C15" s="89">
        <f>(Indeks!C15/Indeks!$C$40*Indeks!$C$2)/Indeks!H15*100</f>
        <v>0.5971254254343165</v>
      </c>
      <c r="D15" s="89">
        <f>(Indeks!D15/Indeks!$D$40*Indeks!$D$2)/Indeks!H15*100</f>
        <v>0.17001876837336624</v>
      </c>
      <c r="E15" s="89">
        <f>(Indeks!E15/Indeks!$E$40*Indeks!$E$2)/Indeks!H15*100</f>
        <v>0.082756123401012</v>
      </c>
      <c r="F15" s="89">
        <f>(Indeks!F15/Indeks!$F$40*Indeks!$F$2)/Indeks!H15*100</f>
        <v>0.09977814689175481</v>
      </c>
      <c r="G15" s="89">
        <f>(Indeks!G15/Indeks!$G$40*Indeks!$G$2)/Indeks!H15*100</f>
        <v>0.05032153589955055</v>
      </c>
      <c r="H15" s="89">
        <f t="shared" si="0"/>
        <v>1</v>
      </c>
    </row>
    <row r="16" spans="1:8" ht="12.75" hidden="1">
      <c r="A16" s="56">
        <v>2006</v>
      </c>
      <c r="B16" s="57" t="s">
        <v>8</v>
      </c>
      <c r="C16" s="83">
        <f>(Indeks!C16/Indeks!$C$40*Indeks!$C$2)/Indeks!H16*100</f>
        <v>0.6039448828228864</v>
      </c>
      <c r="D16" s="83">
        <f>(Indeks!D16/Indeks!$D$40*Indeks!$D$2)/Indeks!H16*100</f>
        <v>0.1617383020175769</v>
      </c>
      <c r="E16" s="83">
        <f>(Indeks!E16/Indeks!$E$40*Indeks!$E$2)/Indeks!H16*100</f>
        <v>0.08281599012687135</v>
      </c>
      <c r="F16" s="83">
        <f>(Indeks!F16/Indeks!$F$40*Indeks!$F$2)/Indeks!H16*100</f>
        <v>0.09992063909692672</v>
      </c>
      <c r="G16" s="83">
        <f>(Indeks!G16/Indeks!$G$40*Indeks!$G$2)/Indeks!H16*100</f>
        <v>0.051580185935738695</v>
      </c>
      <c r="H16" s="83">
        <f t="shared" si="0"/>
        <v>1</v>
      </c>
    </row>
    <row r="17" spans="1:8" ht="12.75" hidden="1">
      <c r="A17" s="12">
        <v>2006</v>
      </c>
      <c r="B17" s="13" t="s">
        <v>9</v>
      </c>
      <c r="C17" s="83">
        <f>(Indeks!C17/Indeks!$C$40*Indeks!$C$2)/Indeks!H17*100</f>
        <v>0.6057748920943766</v>
      </c>
      <c r="D17" s="83">
        <f>(Indeks!D17/Indeks!$D$40*Indeks!$D$2)/Indeks!H17*100</f>
        <v>0.16119754453041626</v>
      </c>
      <c r="E17" s="83">
        <f>(Indeks!E17/Indeks!$E$40*Indeks!$E$2)/Indeks!H17*100</f>
        <v>0.08306693029388039</v>
      </c>
      <c r="F17" s="83">
        <f>(Indeks!F17/Indeks!$F$40*Indeks!$F$2)/Indeks!H17*100</f>
        <v>0.09972178928577403</v>
      </c>
      <c r="G17" s="83">
        <f>(Indeks!G17/Indeks!$G$40*Indeks!$G$2)/Indeks!H17*100</f>
        <v>0.05023884379555257</v>
      </c>
      <c r="H17" s="83">
        <f t="shared" si="0"/>
        <v>0.9999999999999998</v>
      </c>
    </row>
    <row r="18" spans="1:8" ht="12.75" hidden="1">
      <c r="A18" s="16">
        <v>2006</v>
      </c>
      <c r="B18" s="17" t="s">
        <v>10</v>
      </c>
      <c r="C18" s="84">
        <f>(Indeks!C18/Indeks!$C$40*Indeks!$C$2)/Indeks!H18*100</f>
        <v>0.6047696071111465</v>
      </c>
      <c r="D18" s="84">
        <f>(Indeks!D18/Indeks!$D$40*Indeks!$D$2)/Indeks!H18*100</f>
        <v>0.16221644795827478</v>
      </c>
      <c r="E18" s="84">
        <f>(Indeks!E18/Indeks!$E$40*Indeks!$E$2)/Indeks!H18*100</f>
        <v>0.08262969754840939</v>
      </c>
      <c r="F18" s="84">
        <f>(Indeks!F18/Indeks!$F$40*Indeks!$F$2)/Indeks!H18*100</f>
        <v>0.09995692969807435</v>
      </c>
      <c r="G18" s="84">
        <f>(Indeks!G18/Indeks!$G$40*Indeks!$G$2)/Indeks!H18*100</f>
        <v>0.050427317684094954</v>
      </c>
      <c r="H18" s="84">
        <f t="shared" si="0"/>
        <v>0.9999999999999999</v>
      </c>
    </row>
    <row r="19" spans="1:8" ht="12.75" hidden="1">
      <c r="A19" s="21">
        <v>2006</v>
      </c>
      <c r="B19" s="22" t="s">
        <v>11</v>
      </c>
      <c r="C19" s="85">
        <f>(Indeks!C19/Indeks!$C$40*Indeks!$C$2)/Indeks!H19*100</f>
        <v>0.6056517414348531</v>
      </c>
      <c r="D19" s="85">
        <f>(Indeks!D19/Indeks!$D$40*Indeks!$D$2)/Indeks!H19*100</f>
        <v>0.1610523484814521</v>
      </c>
      <c r="E19" s="85">
        <f>(Indeks!E19/Indeks!$E$40*Indeks!$E$2)/Indeks!H19*100</f>
        <v>0.08291988158467839</v>
      </c>
      <c r="F19" s="85">
        <f>(Indeks!F19/Indeks!$F$40*Indeks!$F$2)/Indeks!H19*100</f>
        <v>0.09892030961311847</v>
      </c>
      <c r="G19" s="85">
        <f>(Indeks!G19/Indeks!$G$40*Indeks!$G$2)/Indeks!H19*100</f>
        <v>0.051455718885897915</v>
      </c>
      <c r="H19" s="85">
        <f t="shared" si="0"/>
        <v>1</v>
      </c>
    </row>
    <row r="20" spans="1:8" ht="12.75" hidden="1">
      <c r="A20" s="12">
        <v>2006</v>
      </c>
      <c r="B20" s="13" t="s">
        <v>12</v>
      </c>
      <c r="C20" s="83">
        <f>(Indeks!C20/Indeks!$C$40*Indeks!$C$2)/Indeks!H20*100</f>
        <v>0.602710327635593</v>
      </c>
      <c r="D20" s="83">
        <f>(Indeks!D20/Indeks!$D$40*Indeks!$D$2)/Indeks!H20*100</f>
        <v>0.16217815850485515</v>
      </c>
      <c r="E20" s="83">
        <f>(Indeks!E20/Indeks!$E$40*Indeks!$E$2)/Indeks!H20*100</f>
        <v>0.08281319785728133</v>
      </c>
      <c r="F20" s="83">
        <f>(Indeks!F20/Indeks!$F$40*Indeks!$F$2)/Indeks!H20*100</f>
        <v>0.09853892642759408</v>
      </c>
      <c r="G20" s="83">
        <f>(Indeks!G20/Indeks!$G$40*Indeks!$G$2)/Indeks!H20*100</f>
        <v>0.053759389574676374</v>
      </c>
      <c r="H20" s="83">
        <f t="shared" si="0"/>
        <v>1</v>
      </c>
    </row>
    <row r="21" spans="1:8" ht="12.75" hidden="1">
      <c r="A21" s="16">
        <v>2006</v>
      </c>
      <c r="B21" s="17" t="s">
        <v>13</v>
      </c>
      <c r="C21" s="84">
        <f>(Indeks!C21/Indeks!$C$40*Indeks!$C$2)/Indeks!H21*100</f>
        <v>0.6004293218563298</v>
      </c>
      <c r="D21" s="84">
        <f>(Indeks!D21/Indeks!$D$40*Indeks!$D$2)/Indeks!H21*100</f>
        <v>0.16333842247677172</v>
      </c>
      <c r="E21" s="84">
        <f>(Indeks!E21/Indeks!$E$40*Indeks!$E$2)/Indeks!H21*100</f>
        <v>0.08286841638542243</v>
      </c>
      <c r="F21" s="84">
        <f>(Indeks!F21/Indeks!$F$40*Indeks!$F$2)/Indeks!H21*100</f>
        <v>0.0980673386294749</v>
      </c>
      <c r="G21" s="84">
        <f>(Indeks!G21/Indeks!$G$40*Indeks!$G$2)/Indeks!H21*100</f>
        <v>0.05529650065200135</v>
      </c>
      <c r="H21" s="84">
        <f t="shared" si="0"/>
        <v>1.0000000000000002</v>
      </c>
    </row>
    <row r="22" spans="1:8" ht="12.75" hidden="1">
      <c r="A22" s="21">
        <v>2006</v>
      </c>
      <c r="B22" s="26" t="s">
        <v>31</v>
      </c>
      <c r="C22" s="85">
        <f>(Indeks!C22/Indeks!$C$40*Indeks!$C$2)/Indeks!H22*100</f>
        <v>0.6017887486591852</v>
      </c>
      <c r="D22" s="85">
        <f>(Indeks!D22/Indeks!$D$40*Indeks!$D$2)/Indeks!H22*100</f>
        <v>0.16419971290900576</v>
      </c>
      <c r="E22" s="85">
        <f>(Indeks!E22/Indeks!$E$40*Indeks!$E$2)/Indeks!H22*100</f>
        <v>0.08248363447602325</v>
      </c>
      <c r="F22" s="85">
        <f>(Indeks!F22/Indeks!$F$40*Indeks!$F$2)/Indeks!H22*100</f>
        <v>0.09693653413591058</v>
      </c>
      <c r="G22" s="85">
        <f>(Indeks!G22/Indeks!$G$40*Indeks!$G$2)/Indeks!H22*100</f>
        <v>0.05459136981987535</v>
      </c>
      <c r="H22" s="85">
        <f t="shared" si="0"/>
        <v>1.0000000000000002</v>
      </c>
    </row>
    <row r="23" spans="1:8" ht="12.75" hidden="1">
      <c r="A23" s="12">
        <v>2006</v>
      </c>
      <c r="B23" s="13" t="s">
        <v>14</v>
      </c>
      <c r="C23" s="83">
        <f>(Indeks!C23/Indeks!$C$40*Indeks!$C$2)/Indeks!H23*100</f>
        <v>0.6012478110189878</v>
      </c>
      <c r="D23" s="83">
        <f>(Indeks!D23/Indeks!$D$40*Indeks!$D$2)/Indeks!H23*100</f>
        <v>0.16405211658817065</v>
      </c>
      <c r="E23" s="83">
        <f>(Indeks!E23/Indeks!$E$40*Indeks!$E$2)/Indeks!H23*100</f>
        <v>0.08262924998767329</v>
      </c>
      <c r="F23" s="83">
        <f>(Indeks!F23/Indeks!$F$40*Indeks!$F$2)/Indeks!H23*100</f>
        <v>0.09606519387474194</v>
      </c>
      <c r="G23" s="83">
        <f>(Indeks!G23/Indeks!$G$40*Indeks!$G$2)/Indeks!H23*100</f>
        <v>0.056005628530426316</v>
      </c>
      <c r="H23" s="83">
        <f t="shared" si="0"/>
        <v>1</v>
      </c>
    </row>
    <row r="24" spans="1:8" ht="12.75" hidden="1">
      <c r="A24" s="16">
        <v>2006</v>
      </c>
      <c r="B24" s="17" t="s">
        <v>15</v>
      </c>
      <c r="C24" s="84">
        <f>(Indeks!C24/Indeks!$C$40*Indeks!$C$2)/Indeks!H24*100</f>
        <v>0.6009219316539961</v>
      </c>
      <c r="D24" s="84">
        <f>(Indeks!D24/Indeks!$D$40*Indeks!$D$2)/Indeks!H24*100</f>
        <v>0.16509571585188784</v>
      </c>
      <c r="E24" s="84">
        <f>(Indeks!E24/Indeks!$E$40*Indeks!$E$2)/Indeks!H24*100</f>
        <v>0.08236482498154049</v>
      </c>
      <c r="F24" s="84">
        <f>(Indeks!F24/Indeks!$F$40*Indeks!$F$2)/Indeks!H24*100</f>
        <v>0.09630704378492969</v>
      </c>
      <c r="G24" s="84">
        <f>(Indeks!G24/Indeks!$G$40*Indeks!$G$2)/Indeks!H24*100</f>
        <v>0.05531048372764581</v>
      </c>
      <c r="H24" s="84">
        <f t="shared" si="0"/>
        <v>1</v>
      </c>
    </row>
    <row r="25" spans="1:8" ht="12.75" hidden="1">
      <c r="A25" s="12">
        <v>2006</v>
      </c>
      <c r="B25" s="13" t="s">
        <v>16</v>
      </c>
      <c r="C25" s="85">
        <f>(Indeks!C25/Indeks!$C$40*Indeks!$C$2)/Indeks!H25*100</f>
        <v>0.6008837891788573</v>
      </c>
      <c r="D25" s="85">
        <f>(Indeks!D25/Indeks!$D$40*Indeks!$D$2)/Indeks!H25*100</f>
        <v>0.16718280096156343</v>
      </c>
      <c r="E25" s="85">
        <f>(Indeks!E25/Indeks!$E$40*Indeks!$E$2)/Indeks!H25*100</f>
        <v>0.0817242288630088</v>
      </c>
      <c r="F25" s="85">
        <f>(Indeks!F25/Indeks!$F$40*Indeks!$F$2)/Indeks!H25*100</f>
        <v>0.09546080084316501</v>
      </c>
      <c r="G25" s="85">
        <f>(Indeks!G25/Indeks!$G$40*Indeks!$G$2)/Indeks!H25*100</f>
        <v>0.05474838015340559</v>
      </c>
      <c r="H25" s="85">
        <f t="shared" si="0"/>
        <v>1.0000000000000002</v>
      </c>
    </row>
    <row r="26" spans="1:8" ht="12.75" hidden="1">
      <c r="A26" s="12">
        <v>2006</v>
      </c>
      <c r="B26" s="13" t="s">
        <v>17</v>
      </c>
      <c r="C26" s="83">
        <f>(Indeks!C26/Indeks!$C$40*Indeks!$C$2)/Indeks!H26*100</f>
        <v>0.6051789234215623</v>
      </c>
      <c r="D26" s="83">
        <f>(Indeks!D26/Indeks!$D$40*Indeks!$D$2)/Indeks!H26*100</f>
        <v>0.16146163672551864</v>
      </c>
      <c r="E26" s="83">
        <f>(Indeks!E26/Indeks!$E$40*Indeks!$E$2)/Indeks!H26*100</f>
        <v>0.08260104802633159</v>
      </c>
      <c r="F26" s="83">
        <f>(Indeks!F26/Indeks!$F$40*Indeks!$F$2)/Indeks!H26*100</f>
        <v>0.09575153551311495</v>
      </c>
      <c r="G26" s="83">
        <f>(Indeks!G26/Indeks!$G$40*Indeks!$G$2)/Indeks!H26*100</f>
        <v>0.0550068563134724</v>
      </c>
      <c r="H26" s="83">
        <f t="shared" si="0"/>
        <v>0.9999999999999999</v>
      </c>
    </row>
    <row r="27" spans="1:8" ht="13.5" hidden="1" thickBot="1">
      <c r="A27" s="38">
        <v>2006</v>
      </c>
      <c r="B27" s="39" t="s">
        <v>18</v>
      </c>
      <c r="C27" s="89">
        <f>(Indeks!C27/Indeks!$C$40*Indeks!$C$2)/Indeks!H27*100</f>
        <v>0.6069901096002557</v>
      </c>
      <c r="D27" s="89">
        <f>(Indeks!D27/Indeks!$D$40*Indeks!$D$2)/Indeks!H27*100</f>
        <v>0.1565214738124156</v>
      </c>
      <c r="E27" s="89">
        <f>(Indeks!E27/Indeks!$E$40*Indeks!$E$2)/Indeks!H27*100</f>
        <v>0.08277487537518065</v>
      </c>
      <c r="F27" s="89">
        <f>(Indeks!F27/Indeks!$F$40*Indeks!$F$2)/Indeks!H27*100</f>
        <v>0.0957435063639515</v>
      </c>
      <c r="G27" s="89">
        <f>(Indeks!G27/Indeks!$G$40*Indeks!$G$2)/Indeks!H27*100</f>
        <v>0.05797003484819675</v>
      </c>
      <c r="H27" s="89">
        <f t="shared" si="0"/>
        <v>1.0000000000000002</v>
      </c>
    </row>
    <row r="28" spans="1:8" ht="12.75" hidden="1">
      <c r="A28" s="56">
        <v>2007</v>
      </c>
      <c r="B28" s="57" t="s">
        <v>8</v>
      </c>
      <c r="C28" s="83">
        <f>(Indeks!C28/Indeks!$C$40*Indeks!$C$2)/Indeks!H28*100</f>
        <v>0.6094085638228484</v>
      </c>
      <c r="D28" s="83">
        <f>(Indeks!D28/Indeks!$D$40*Indeks!$D$2)/Indeks!H28*100</f>
        <v>0.15558833836690872</v>
      </c>
      <c r="E28" s="83">
        <f>(Indeks!E28/Indeks!$E$40*Indeks!$E$2)/Indeks!H28*100</f>
        <v>0.0824742828671154</v>
      </c>
      <c r="F28" s="83">
        <f>(Indeks!F28/Indeks!$F$40*Indeks!$F$2)/Indeks!H28*100</f>
        <v>0.09538253609022447</v>
      </c>
      <c r="G28" s="83">
        <f>(Indeks!G28/Indeks!$G$40*Indeks!$G$2)/Indeks!H28*100</f>
        <v>0.05714627885290282</v>
      </c>
      <c r="H28" s="83">
        <f t="shared" si="0"/>
        <v>0.9999999999999999</v>
      </c>
    </row>
    <row r="29" spans="1:8" ht="12.75" hidden="1">
      <c r="A29" s="12">
        <v>2007</v>
      </c>
      <c r="B29" s="13" t="s">
        <v>9</v>
      </c>
      <c r="C29" s="83">
        <f>(Indeks!C29/Indeks!$C$40*Indeks!$C$2)/Indeks!H29*100</f>
        <v>0.6091377086818933</v>
      </c>
      <c r="D29" s="83">
        <f>(Indeks!D29/Indeks!$D$40*Indeks!$D$2)/Indeks!H29*100</f>
        <v>0.15476484903430182</v>
      </c>
      <c r="E29" s="83">
        <f>(Indeks!E29/Indeks!$E$40*Indeks!$E$2)/Indeks!H29*100</f>
        <v>0.08251077454755422</v>
      </c>
      <c r="F29" s="83">
        <f>(Indeks!F29/Indeks!$F$40*Indeks!$F$2)/Indeks!H29*100</f>
        <v>0.09553591308720882</v>
      </c>
      <c r="G29" s="83">
        <f>(Indeks!G29/Indeks!$G$40*Indeks!$G$2)/Indeks!H29*100</f>
        <v>0.05805075464904181</v>
      </c>
      <c r="H29" s="83">
        <f t="shared" si="0"/>
        <v>1</v>
      </c>
    </row>
    <row r="30" spans="1:8" ht="12.75" hidden="1">
      <c r="A30" s="16">
        <v>2007</v>
      </c>
      <c r="B30" s="17" t="s">
        <v>10</v>
      </c>
      <c r="C30" s="84">
        <f>(Indeks!C30/Indeks!$C$40*Indeks!$C$2)/Indeks!H30*100</f>
        <v>0.6119444743211674</v>
      </c>
      <c r="D30" s="84">
        <f>(Indeks!D30/Indeks!$D$40*Indeks!$D$2)/Indeks!H30*100</f>
        <v>0.14966806989460815</v>
      </c>
      <c r="E30" s="84">
        <f>(Indeks!E30/Indeks!$E$40*Indeks!$E$2)/Indeks!H30*100</f>
        <v>0.08259702551544712</v>
      </c>
      <c r="F30" s="84">
        <f>(Indeks!F30/Indeks!$F$40*Indeks!$F$2)/Indeks!H30*100</f>
        <v>0.09627112903977106</v>
      </c>
      <c r="G30" s="84">
        <f>(Indeks!G30/Indeks!$G$40*Indeks!$G$2)/Indeks!H30*100</f>
        <v>0.05951930122900618</v>
      </c>
      <c r="H30" s="84">
        <f t="shared" si="0"/>
        <v>0.9999999999999999</v>
      </c>
    </row>
    <row r="31" spans="1:8" ht="12.75" hidden="1">
      <c r="A31" s="12">
        <v>2007</v>
      </c>
      <c r="B31" s="13" t="s">
        <v>11</v>
      </c>
      <c r="C31" s="85">
        <f>(Indeks!C31/Indeks!$C$40*Indeks!$C$2)/Indeks!H31*100</f>
        <v>0.6105303834700505</v>
      </c>
      <c r="D31" s="85">
        <f>(Indeks!D31/Indeks!$D$40*Indeks!$D$2)/Indeks!H31*100</f>
        <v>0.1526684883062822</v>
      </c>
      <c r="E31" s="85">
        <f>(Indeks!E31/Indeks!$E$40*Indeks!$E$2)/Indeks!H31*100</f>
        <v>0.08257409443401234</v>
      </c>
      <c r="F31" s="85">
        <f>(Indeks!F31/Indeks!$F$40*Indeks!$F$2)/Indeks!H31*100</f>
        <v>0.09561681711350692</v>
      </c>
      <c r="G31" s="85">
        <f>(Indeks!G31/Indeks!$G$40*Indeks!$G$2)/Indeks!H31*100</f>
        <v>0.058610216676147985</v>
      </c>
      <c r="H31" s="85">
        <f t="shared" si="0"/>
        <v>0.9999999999999999</v>
      </c>
    </row>
    <row r="32" spans="1:8" ht="12.75" hidden="1">
      <c r="A32" s="12">
        <v>2007</v>
      </c>
      <c r="B32" s="13" t="s">
        <v>12</v>
      </c>
      <c r="C32" s="83">
        <f>(Indeks!C32/Indeks!$C$40*Indeks!$C$2)/Indeks!H32*100</f>
        <v>0.6094036059473178</v>
      </c>
      <c r="D32" s="83">
        <f>(Indeks!D32/Indeks!$D$40*Indeks!$D$2)/Indeks!H32*100</f>
        <v>0.153633754914987</v>
      </c>
      <c r="E32" s="83">
        <f>(Indeks!E32/Indeks!$E$40*Indeks!$E$2)/Indeks!H32*100</f>
        <v>0.08278446959055497</v>
      </c>
      <c r="F32" s="83">
        <f>(Indeks!F32/Indeks!$F$40*Indeks!$F$2)/Indeks!H32*100</f>
        <v>0.09514907674961512</v>
      </c>
      <c r="G32" s="83">
        <f>(Indeks!G32/Indeks!$G$40*Indeks!$G$2)/Indeks!H32*100</f>
        <v>0.05902909279752503</v>
      </c>
      <c r="H32" s="83">
        <f t="shared" si="0"/>
        <v>0.9999999999999999</v>
      </c>
    </row>
    <row r="33" spans="1:8" ht="12.75" hidden="1">
      <c r="A33" s="16">
        <v>2007</v>
      </c>
      <c r="B33" s="17" t="s">
        <v>13</v>
      </c>
      <c r="C33" s="84">
        <f>(Indeks!C33/Indeks!$C$40*Indeks!$C$2)/Indeks!H33*100</f>
        <v>0.6071149927171806</v>
      </c>
      <c r="D33" s="84">
        <f>(Indeks!D33/Indeks!$D$40*Indeks!$D$2)/Indeks!H33*100</f>
        <v>0.15541723750276298</v>
      </c>
      <c r="E33" s="84">
        <f>(Indeks!E33/Indeks!$E$40*Indeks!$E$2)/Indeks!H33*100</f>
        <v>0.08261813645666825</v>
      </c>
      <c r="F33" s="84">
        <f>(Indeks!F33/Indeks!$F$40*Indeks!$F$2)/Indeks!H33*100</f>
        <v>0.09459829216580833</v>
      </c>
      <c r="G33" s="84">
        <f>(Indeks!G33/Indeks!$G$40*Indeks!$G$2)/Indeks!H33*100</f>
        <v>0.0602513411575799</v>
      </c>
      <c r="H33" s="84">
        <f t="shared" si="0"/>
        <v>1</v>
      </c>
    </row>
    <row r="34" spans="1:8" ht="12.75" hidden="1">
      <c r="A34" s="12">
        <v>2007</v>
      </c>
      <c r="B34" s="86" t="s">
        <v>31</v>
      </c>
      <c r="C34" s="83">
        <f>(Indeks!C34/Indeks!$C$40*Indeks!$C$2)/Indeks!H34*100</f>
        <v>0.6081933547578543</v>
      </c>
      <c r="D34" s="83">
        <f>(Indeks!D34/Indeks!$D$40*Indeks!$D$2)/Indeks!H34*100</f>
        <v>0.1538587785238792</v>
      </c>
      <c r="E34" s="83">
        <f>(Indeks!E34/Indeks!$E$40*Indeks!$E$2)/Indeks!H34*100</f>
        <v>0.08212974424701244</v>
      </c>
      <c r="F34" s="83">
        <f>(Indeks!F34/Indeks!$F$40*Indeks!$F$2)/Indeks!H34*100</f>
        <v>0.09368284652891826</v>
      </c>
      <c r="G34" s="83">
        <f>(Indeks!G34/Indeks!$G$40*Indeks!$G$2)/Indeks!H34*100</f>
        <v>0.062135275942335824</v>
      </c>
      <c r="H34" s="83">
        <f t="shared" si="0"/>
        <v>1</v>
      </c>
    </row>
    <row r="35" spans="1:8" ht="12.75" hidden="1">
      <c r="A35" s="12">
        <v>2007</v>
      </c>
      <c r="B35" s="13" t="s">
        <v>14</v>
      </c>
      <c r="C35" s="83">
        <f>(Indeks!C35/Indeks!$C$40*Indeks!$C$2)/Indeks!H35*100</f>
        <v>0.6050447577432803</v>
      </c>
      <c r="D35" s="83">
        <f>(Indeks!D35/Indeks!$D$40*Indeks!$D$2)/Indeks!H35*100</f>
        <v>0.15649634577493732</v>
      </c>
      <c r="E35" s="83">
        <f>(Indeks!E35/Indeks!$E$40*Indeks!$E$2)/Indeks!H35*100</f>
        <v>0.08163320356410525</v>
      </c>
      <c r="F35" s="83">
        <f>(Indeks!F35/Indeks!$F$40*Indeks!$F$2)/Indeks!H35*100</f>
        <v>0.09319785351051346</v>
      </c>
      <c r="G35" s="83">
        <f>(Indeks!G35/Indeks!$G$40*Indeks!$G$2)/Indeks!H35*100</f>
        <v>0.06362783940716385</v>
      </c>
      <c r="H35" s="83">
        <f t="shared" si="0"/>
        <v>1</v>
      </c>
    </row>
    <row r="36" spans="1:8" ht="12.75" hidden="1">
      <c r="A36" s="16">
        <v>2007</v>
      </c>
      <c r="B36" s="17" t="s">
        <v>15</v>
      </c>
      <c r="C36" s="84">
        <f>(Indeks!C36/Indeks!$C$40*Indeks!$C$2)/Indeks!H36*100</f>
        <v>0.6051542414530658</v>
      </c>
      <c r="D36" s="84">
        <f>(Indeks!D36/Indeks!$D$40*Indeks!$D$2)/Indeks!H36*100</f>
        <v>0.157996682795178</v>
      </c>
      <c r="E36" s="84">
        <f>(Indeks!E36/Indeks!$E$40*Indeks!$E$2)/Indeks!H36*100</f>
        <v>0.0812911221699414</v>
      </c>
      <c r="F36" s="84">
        <f>(Indeks!F36/Indeks!$F$40*Indeks!$F$2)/Indeks!H36*100</f>
        <v>0.0932147177947103</v>
      </c>
      <c r="G36" s="84">
        <f>(Indeks!G36/Indeks!$G$40*Indeks!$G$2)/Indeks!H36*100</f>
        <v>0.06234323578710468</v>
      </c>
      <c r="H36" s="84">
        <f t="shared" si="0"/>
        <v>1.0000000000000002</v>
      </c>
    </row>
    <row r="37" spans="1:8" ht="12.75" hidden="1">
      <c r="A37" s="12">
        <v>2007</v>
      </c>
      <c r="B37" s="13" t="s">
        <v>16</v>
      </c>
      <c r="C37" s="83">
        <f>(Indeks!C37/Indeks!$C$40*Indeks!$C$2)/Indeks!H37*100</f>
        <v>0.6085498500050199</v>
      </c>
      <c r="D37" s="83">
        <f>(Indeks!D37/Indeks!$D$40*Indeks!$D$2)/Indeks!H37*100</f>
        <v>0.15613380869231785</v>
      </c>
      <c r="E37" s="83">
        <f>(Indeks!E37/Indeks!$E$40*Indeks!$E$2)/Indeks!H37*100</f>
        <v>0.08069279112871154</v>
      </c>
      <c r="F37" s="83">
        <f>(Indeks!F37/Indeks!$F$40*Indeks!$F$2)/Indeks!H37*100</f>
        <v>0.09250144280037986</v>
      </c>
      <c r="G37" s="83">
        <f>(Indeks!G37/Indeks!$G$40*Indeks!$G$2)/Indeks!H37*100</f>
        <v>0.06212210737357081</v>
      </c>
      <c r="H37" s="83">
        <f t="shared" si="0"/>
        <v>1</v>
      </c>
    </row>
    <row r="38" spans="1:8" ht="12.75" hidden="1">
      <c r="A38" s="12">
        <v>2007</v>
      </c>
      <c r="B38" s="13" t="s">
        <v>17</v>
      </c>
      <c r="C38" s="83">
        <f>(Indeks!C38/Indeks!$C$40*Indeks!$C$2)/Indeks!H38*100</f>
        <v>0.606139213087725</v>
      </c>
      <c r="D38" s="83">
        <f>(Indeks!D38/Indeks!$D$40*Indeks!$D$2)/Indeks!H38*100</f>
        <v>0.15879572006924017</v>
      </c>
      <c r="E38" s="83">
        <f>(Indeks!E38/Indeks!$E$40*Indeks!$E$2)/Indeks!H38*100</f>
        <v>0.08079727700149583</v>
      </c>
      <c r="F38" s="83">
        <f>(Indeks!F38/Indeks!$F$40*Indeks!$F$2)/Indeks!H38*100</f>
        <v>0.09213501859878685</v>
      </c>
      <c r="G38" s="83">
        <f>(Indeks!G38/Indeks!$G$40*Indeks!$G$2)/Indeks!H38*100</f>
        <v>0.062132771242752176</v>
      </c>
      <c r="H38" s="83">
        <f t="shared" si="0"/>
        <v>1</v>
      </c>
    </row>
    <row r="39" spans="1:8" ht="13.5" hidden="1" thickBot="1">
      <c r="A39" s="38">
        <v>2007</v>
      </c>
      <c r="B39" s="39" t="s">
        <v>18</v>
      </c>
      <c r="C39" s="89">
        <f>(Indeks!C39/Indeks!$C$40*Indeks!$C$2)/Indeks!H39*100</f>
        <v>0.605506149020897</v>
      </c>
      <c r="D39" s="89">
        <f>(Indeks!D39/Indeks!$D$40*Indeks!$D$2)/Indeks!H39*100</f>
        <v>0.15935808730150972</v>
      </c>
      <c r="E39" s="89">
        <f>(Indeks!E39/Indeks!$E$40*Indeks!$E$2)/Indeks!H39*100</f>
        <v>0.08099535049940611</v>
      </c>
      <c r="F39" s="89">
        <f>(Indeks!F39/Indeks!$F$40*Indeks!$F$2)/Indeks!H39*100</f>
        <v>0.09194429524131491</v>
      </c>
      <c r="G39" s="89">
        <f>(Indeks!G39/Indeks!$G$40*Indeks!$G$2)/Indeks!H39*100</f>
        <v>0.062196117936872256</v>
      </c>
      <c r="H39" s="89">
        <f t="shared" si="0"/>
        <v>1</v>
      </c>
    </row>
    <row r="40" spans="1:8" s="2" customFormat="1" ht="13.5" customHeight="1" hidden="1">
      <c r="A40" s="8">
        <v>2008</v>
      </c>
      <c r="B40" s="8" t="s">
        <v>8</v>
      </c>
      <c r="C40" s="90">
        <f>(Indeks!C40/Indeks!$C$40*Indeks!$C$2)/Indeks!H40*100</f>
        <v>0.6</v>
      </c>
      <c r="D40" s="90">
        <f>(Indeks!D40/Indeks!$D$40*Indeks!$D$2)/Indeks!H40*100</f>
        <v>0.17</v>
      </c>
      <c r="E40" s="90">
        <f>(Indeks!E40/Indeks!$E$40*Indeks!$E$2)/Indeks!H40*100</f>
        <v>0.08</v>
      </c>
      <c r="F40" s="90">
        <f>(Indeks!F40/Indeks!$F$40*Indeks!$F$2)/Indeks!H40*100</f>
        <v>0.09</v>
      </c>
      <c r="G40" s="90">
        <f>(Indeks!G40/Indeks!$G$40*Indeks!$G$2)/Indeks!H40*100</f>
        <v>0.06</v>
      </c>
      <c r="H40" s="90">
        <f>SUM(C40:G40)</f>
        <v>1</v>
      </c>
    </row>
    <row r="41" spans="1:8" ht="13.5" customHeight="1" hidden="1">
      <c r="A41" s="12">
        <f>A40</f>
        <v>2008</v>
      </c>
      <c r="B41" s="13" t="s">
        <v>9</v>
      </c>
      <c r="C41" s="83">
        <f>(Indeks!C41/Indeks!$C$40*Indeks!$C$2)/Indeks!H41*100</f>
        <v>0.6037222692680847</v>
      </c>
      <c r="D41" s="83">
        <f>(Indeks!D41/Indeks!$D$40*Indeks!$D$2)/Indeks!H41*100</f>
        <v>0.16326854226436496</v>
      </c>
      <c r="E41" s="83">
        <f>(Indeks!E41/Indeks!$E$40*Indeks!$E$2)/Indeks!H41*100</f>
        <v>0.08042660880061989</v>
      </c>
      <c r="F41" s="83">
        <f>(Indeks!F41/Indeks!$F$40*Indeks!$F$2)/Indeks!H41*100</f>
        <v>0.09018528852454756</v>
      </c>
      <c r="G41" s="83">
        <f>(Indeks!G41/Indeks!$G$40*Indeks!$G$2)/Indeks!H41*100</f>
        <v>0.06239729114238276</v>
      </c>
      <c r="H41" s="83">
        <f>SUM(C41:G41)</f>
        <v>0.9999999999999999</v>
      </c>
    </row>
    <row r="42" spans="1:8" ht="13.5" customHeight="1" hidden="1">
      <c r="A42" s="16">
        <f aca="true" t="shared" si="1" ref="A42:A51">A41</f>
        <v>2008</v>
      </c>
      <c r="B42" s="17" t="s">
        <v>10</v>
      </c>
      <c r="C42" s="84">
        <f>(Indeks!C42/Indeks!$C$40*Indeks!$C$2)/Indeks!H42*100</f>
        <v>0.6028680974357579</v>
      </c>
      <c r="D42" s="84">
        <f>(Indeks!D42/Indeks!$D$40*Indeks!$D$2)/Indeks!H42*100</f>
        <v>0.16770259377081992</v>
      </c>
      <c r="E42" s="84">
        <f>(Indeks!E42/Indeks!$E$40*Indeks!$E$2)/Indeks!H42*100</f>
        <v>0.08052160331696068</v>
      </c>
      <c r="F42" s="84">
        <f>(Indeks!F42/Indeks!$F$40*Indeks!$F$2)/Indeks!H42*100</f>
        <v>0.09089586968547367</v>
      </c>
      <c r="G42" s="84">
        <f>(Indeks!G42/Indeks!$G$40*Indeks!$G$2)/Indeks!H42*100</f>
        <v>0.058011835790988016</v>
      </c>
      <c r="H42" s="84">
        <f aca="true" t="shared" si="2" ref="H42:H51">SUM(C42:G42)</f>
        <v>1.0000000000000002</v>
      </c>
    </row>
    <row r="43" spans="1:8" ht="13.5" customHeight="1" hidden="1">
      <c r="A43" s="21">
        <f t="shared" si="1"/>
        <v>2008</v>
      </c>
      <c r="B43" s="22" t="s">
        <v>11</v>
      </c>
      <c r="C43" s="85">
        <f>(Indeks!C43/Indeks!$C$40*Indeks!$C$2)/Indeks!H43*100</f>
        <v>0.6050967208116927</v>
      </c>
      <c r="D43" s="85">
        <f>(Indeks!D43/Indeks!$D$40*Indeks!$D$2)/Indeks!H43*100</f>
        <v>0.16716193467208848</v>
      </c>
      <c r="E43" s="85">
        <f>(Indeks!E43/Indeks!$E$40*Indeks!$E$2)/Indeks!H43*100</f>
        <v>0.08082962792480158</v>
      </c>
      <c r="F43" s="85">
        <f>(Indeks!F43/Indeks!$F$40*Indeks!$F$2)/Indeks!H43*100</f>
        <v>0.08987559977573346</v>
      </c>
      <c r="G43" s="85">
        <f>(Indeks!G43/Indeks!$G$40*Indeks!$G$2)/Indeks!H43*100</f>
        <v>0.057036116815683734</v>
      </c>
      <c r="H43" s="85">
        <f t="shared" si="2"/>
        <v>1</v>
      </c>
    </row>
    <row r="44" spans="1:8" ht="13.5" customHeight="1" hidden="1">
      <c r="A44" s="12">
        <f t="shared" si="1"/>
        <v>2008</v>
      </c>
      <c r="B44" s="13" t="s">
        <v>12</v>
      </c>
      <c r="C44" s="83">
        <f>(Indeks!C44/Indeks!$C$40*Indeks!$C$2)/Indeks!H44*100</f>
        <v>0.597590718205886</v>
      </c>
      <c r="D44" s="83">
        <f>(Indeks!D44/Indeks!$D$40*Indeks!$D$2)/Indeks!H44*100</f>
        <v>0.1750475502328161</v>
      </c>
      <c r="E44" s="83">
        <f>(Indeks!E44/Indeks!$E$40*Indeks!$E$2)/Indeks!H44*100</f>
        <v>0.08016781563053832</v>
      </c>
      <c r="F44" s="83">
        <f>(Indeks!F44/Indeks!$F$40*Indeks!$F$2)/Indeks!H44*100</f>
        <v>0.08876072596645193</v>
      </c>
      <c r="G44" s="83">
        <f>(Indeks!G44/Indeks!$G$40*Indeks!$G$2)/Indeks!H44*100</f>
        <v>0.05843318996430748</v>
      </c>
      <c r="H44" s="83">
        <f t="shared" si="2"/>
        <v>0.9999999999999998</v>
      </c>
    </row>
    <row r="45" spans="1:8" ht="13.5" customHeight="1" hidden="1">
      <c r="A45" s="16">
        <f t="shared" si="1"/>
        <v>2008</v>
      </c>
      <c r="B45" s="17" t="s">
        <v>13</v>
      </c>
      <c r="C45" s="84">
        <f>(Indeks!C45/Indeks!$C$40*Indeks!$C$2)/Indeks!H45*100</f>
        <v>0.5949407619263296</v>
      </c>
      <c r="D45" s="84">
        <f>(Indeks!D45/Indeks!$D$40*Indeks!$D$2)/Indeks!H45*100</f>
        <v>0.1759043839489014</v>
      </c>
      <c r="E45" s="84">
        <f>(Indeks!E45/Indeks!$E$40*Indeks!$E$2)/Indeks!H45*100</f>
        <v>0.08008378994345934</v>
      </c>
      <c r="F45" s="84">
        <f>(Indeks!F45/Indeks!$F$40*Indeks!$F$2)/Indeks!H45*100</f>
        <v>0.08818548691337497</v>
      </c>
      <c r="G45" s="84">
        <f>(Indeks!G45/Indeks!$G$40*Indeks!$G$2)/Indeks!H45*100</f>
        <v>0.06088557726793464</v>
      </c>
      <c r="H45" s="84">
        <f t="shared" si="2"/>
        <v>1</v>
      </c>
    </row>
    <row r="46" spans="1:8" ht="13.5" customHeight="1" hidden="1">
      <c r="A46" s="21">
        <f t="shared" si="1"/>
        <v>2008</v>
      </c>
      <c r="B46" s="26" t="s">
        <v>31</v>
      </c>
      <c r="C46" s="85">
        <f>(Indeks!C46/Indeks!$C$40*Indeks!$C$2)/Indeks!H46*100</f>
        <v>0.5904823371936136</v>
      </c>
      <c r="D46" s="85">
        <f>(Indeks!D46/Indeks!$D$40*Indeks!$D$2)/Indeks!H46*100</f>
        <v>0.18076523689568158</v>
      </c>
      <c r="E46" s="85">
        <f>(Indeks!E46/Indeks!$E$40*Indeks!$E$2)/Indeks!H46*100</f>
        <v>0.07896274047966316</v>
      </c>
      <c r="F46" s="85">
        <f>(Indeks!F46/Indeks!$F$40*Indeks!$F$2)/Indeks!H46*100</f>
        <v>0.08656802733967442</v>
      </c>
      <c r="G46" s="85">
        <f>(Indeks!G46/Indeks!$G$40*Indeks!$G$2)/Indeks!H46*100</f>
        <v>0.06322165809136722</v>
      </c>
      <c r="H46" s="85">
        <f t="shared" si="2"/>
        <v>1</v>
      </c>
    </row>
    <row r="47" spans="1:8" ht="13.5" customHeight="1" hidden="1">
      <c r="A47" s="12">
        <f t="shared" si="1"/>
        <v>2008</v>
      </c>
      <c r="B47" s="13" t="s">
        <v>14</v>
      </c>
      <c r="C47" s="83">
        <f>(Indeks!C47/Indeks!$C$40*Indeks!$C$2)/Indeks!H47*100</f>
        <v>0.583172239352291</v>
      </c>
      <c r="D47" s="83">
        <f>(Indeks!D47/Indeks!$D$40*Indeks!$D$2)/Indeks!H47*100</f>
        <v>0.18735752912824488</v>
      </c>
      <c r="E47" s="83">
        <f>(Indeks!E47/Indeks!$E$40*Indeks!$E$2)/Indeks!H47*100</f>
        <v>0.07824865506552438</v>
      </c>
      <c r="F47" s="83">
        <f>(Indeks!F47/Indeks!$F$40*Indeks!$F$2)/Indeks!H47*100</f>
        <v>0.08567260702011908</v>
      </c>
      <c r="G47" s="83">
        <f>(Indeks!G47/Indeks!$G$40*Indeks!$G$2)/Indeks!H47*100</f>
        <v>0.06554896943382067</v>
      </c>
      <c r="H47" s="83">
        <f t="shared" si="2"/>
        <v>1</v>
      </c>
    </row>
    <row r="48" spans="1:8" ht="13.5" customHeight="1" hidden="1">
      <c r="A48" s="16">
        <f t="shared" si="1"/>
        <v>2008</v>
      </c>
      <c r="B48" s="17" t="s">
        <v>15</v>
      </c>
      <c r="C48" s="84">
        <f>(Indeks!C48/Indeks!$C$40*Indeks!$C$2)/Indeks!H48*100</f>
        <v>0.5834953974515811</v>
      </c>
      <c r="D48" s="84">
        <f>(Indeks!D48/Indeks!$D$40*Indeks!$D$2)/Indeks!H48*100</f>
        <v>0.18825423900920157</v>
      </c>
      <c r="E48" s="84">
        <f>(Indeks!E48/Indeks!$E$40*Indeks!$E$2)/Indeks!H48*100</f>
        <v>0.07802840616541548</v>
      </c>
      <c r="F48" s="84">
        <f>(Indeks!F48/Indeks!$F$40*Indeks!$F$2)/Indeks!H48*100</f>
        <v>0.08607283903376835</v>
      </c>
      <c r="G48" s="84">
        <f>(Indeks!G48/Indeks!$G$40*Indeks!$G$2)/Indeks!H48*100</f>
        <v>0.06414911834003356</v>
      </c>
      <c r="H48" s="84">
        <f t="shared" si="2"/>
        <v>1</v>
      </c>
    </row>
    <row r="49" spans="1:8" ht="13.5" customHeight="1" hidden="1">
      <c r="A49" s="21">
        <f t="shared" si="1"/>
        <v>2008</v>
      </c>
      <c r="B49" s="22" t="s">
        <v>16</v>
      </c>
      <c r="C49" s="85">
        <f>(Indeks!C49/Indeks!$C$40*Indeks!$C$2)/Indeks!H49*100</f>
        <v>0.596534174215252</v>
      </c>
      <c r="D49" s="85">
        <f>(Indeks!D49/Indeks!$D$40*Indeks!$D$2)/Indeks!H49*100</f>
        <v>0.17542588079092694</v>
      </c>
      <c r="E49" s="85">
        <f>(Indeks!E49/Indeks!$E$40*Indeks!$E$2)/Indeks!H49*100</f>
        <v>0.07891149730683014</v>
      </c>
      <c r="F49" s="85">
        <f>(Indeks!F49/Indeks!$F$40*Indeks!$F$2)/Indeks!H49*100</f>
        <v>0.08690018267493302</v>
      </c>
      <c r="G49" s="85">
        <f>(Indeks!G49/Indeks!$G$40*Indeks!$G$2)/Indeks!H49*100</f>
        <v>0.06222826501205793</v>
      </c>
      <c r="H49" s="85">
        <f t="shared" si="2"/>
        <v>1</v>
      </c>
    </row>
    <row r="50" spans="1:8" ht="13.5" customHeight="1" hidden="1">
      <c r="A50" s="12">
        <f t="shared" si="1"/>
        <v>2008</v>
      </c>
      <c r="B50" s="13" t="s">
        <v>17</v>
      </c>
      <c r="C50" s="83">
        <f>(Indeks!C50/Indeks!$C$40*Indeks!$C$2)/Indeks!H50*100</f>
        <v>0.5967373028212504</v>
      </c>
      <c r="D50" s="83">
        <f>(Indeks!D50/Indeks!$D$40*Indeks!$D$2)/Indeks!H50*100</f>
        <v>0.17445603924253902</v>
      </c>
      <c r="E50" s="83">
        <f>(Indeks!E50/Indeks!$E$40*Indeks!$E$2)/Indeks!H50*100</f>
        <v>0.07927116026958743</v>
      </c>
      <c r="F50" s="83">
        <f>(Indeks!F50/Indeks!$F$40*Indeks!$F$2)/Indeks!H50*100</f>
        <v>0.08728604302072382</v>
      </c>
      <c r="G50" s="83">
        <f>(Indeks!G50/Indeks!$G$40*Indeks!$G$2)/Indeks!H50*100</f>
        <v>0.06224945464589948</v>
      </c>
      <c r="H50" s="83">
        <f t="shared" si="2"/>
        <v>1.0000000000000002</v>
      </c>
    </row>
    <row r="51" spans="1:8" ht="13.5" customHeight="1" hidden="1" thickBot="1">
      <c r="A51" s="38">
        <f t="shared" si="1"/>
        <v>2008</v>
      </c>
      <c r="B51" s="39" t="s">
        <v>18</v>
      </c>
      <c r="C51" s="89">
        <f>(Indeks!C51/Indeks!$C$40*Indeks!$C$2)/Indeks!H51*100</f>
        <v>0.6010544676449278</v>
      </c>
      <c r="D51" s="89">
        <f>(Indeks!D51/Indeks!$D$40*Indeks!$D$2)/Indeks!H51*100</f>
        <v>0.16361953405577373</v>
      </c>
      <c r="E51" s="89">
        <f>(Indeks!E51/Indeks!$E$40*Indeks!$E$2)/Indeks!H51*100</f>
        <v>0.07971057659096134</v>
      </c>
      <c r="F51" s="89">
        <f>(Indeks!F51/Indeks!$F$40*Indeks!$F$2)/Indeks!H51*100</f>
        <v>0.08926320035061439</v>
      </c>
      <c r="G51" s="89">
        <f>(Indeks!G51/Indeks!$G$40*Indeks!$G$2)/Indeks!H51*100</f>
        <v>0.06635222135772276</v>
      </c>
      <c r="H51" s="89">
        <f t="shared" si="2"/>
        <v>1</v>
      </c>
    </row>
    <row r="52" spans="1:8" ht="13.5" customHeight="1" hidden="1">
      <c r="A52" s="56">
        <v>2009</v>
      </c>
      <c r="B52" s="57" t="s">
        <v>8</v>
      </c>
      <c r="C52" s="58">
        <f>(Indeks!C52/Indeks!$C$40*Indeks!$C$2)/Indeks!H52*100</f>
        <v>0.6120982762049665</v>
      </c>
      <c r="D52" s="58">
        <f>(Indeks!D52/Indeks!$D$40*Indeks!$D$2)/Indeks!H52*100</f>
        <v>0.15594702694224746</v>
      </c>
      <c r="E52" s="58">
        <f>(Indeks!E52/Indeks!$E$40*Indeks!$E$2)/Indeks!H52*100</f>
        <v>0.08018563292930736</v>
      </c>
      <c r="F52" s="58">
        <f>(Indeks!F52/Indeks!$F$40*Indeks!$F$2)/Indeks!H52*100</f>
        <v>0.09074612359425124</v>
      </c>
      <c r="G52" s="58">
        <f>(Indeks!G52/Indeks!$G$40*Indeks!$G$2)/Indeks!H52*100</f>
        <v>0.06102294032922745</v>
      </c>
      <c r="H52" s="58">
        <f aca="true" t="shared" si="3" ref="H52:H58">SUM(C52:G52)</f>
        <v>1</v>
      </c>
    </row>
    <row r="53" spans="1:8" ht="13.5" customHeight="1" hidden="1">
      <c r="A53" s="12">
        <f>A52</f>
        <v>2009</v>
      </c>
      <c r="B53" s="13" t="s">
        <v>9</v>
      </c>
      <c r="C53" s="83">
        <f>(Indeks!C53/Indeks!$C$40*Indeks!$C$2)/Indeks!H53*100</f>
        <v>0.6243100685209836</v>
      </c>
      <c r="D53" s="83">
        <f>(Indeks!D53/Indeks!$D$40*Indeks!$D$2)/Indeks!H53*100</f>
        <v>0.14602071617330725</v>
      </c>
      <c r="E53" s="83">
        <f>(Indeks!E53/Indeks!$E$40*Indeks!$E$2)/Indeks!H53*100</f>
        <v>0.081509556796623</v>
      </c>
      <c r="F53" s="83">
        <f>(Indeks!F53/Indeks!$F$40*Indeks!$F$2)/Indeks!H53*100</f>
        <v>0.09255657276213212</v>
      </c>
      <c r="G53" s="83">
        <f>(Indeks!G53/Indeks!$G$40*Indeks!$G$2)/Indeks!H53*100</f>
        <v>0.055603085746954044</v>
      </c>
      <c r="H53" s="83">
        <f t="shared" si="3"/>
        <v>1</v>
      </c>
    </row>
    <row r="54" spans="1:8" ht="13.5" customHeight="1" hidden="1">
      <c r="A54" s="16">
        <f aca="true" t="shared" si="4" ref="A54:A63">A53</f>
        <v>2009</v>
      </c>
      <c r="B54" s="17" t="s">
        <v>10</v>
      </c>
      <c r="C54" s="84">
        <f>(Indeks!C54/Indeks!$C$40*Indeks!$C$2)/Indeks!H54*100</f>
        <v>0.6268284599218792</v>
      </c>
      <c r="D54" s="84">
        <f>(Indeks!D54/Indeks!$D$40*Indeks!$D$2)/Indeks!H54*100</f>
        <v>0.14458672200935604</v>
      </c>
      <c r="E54" s="84">
        <f>(Indeks!E54/Indeks!$E$40*Indeks!$E$2)/Indeks!H54*100</f>
        <v>0.08156140774956504</v>
      </c>
      <c r="F54" s="84">
        <f>(Indeks!F54/Indeks!$F$40*Indeks!$F$2)/Indeks!H54*100</f>
        <v>0.09144750313423877</v>
      </c>
      <c r="G54" s="84">
        <f>(Indeks!G54/Indeks!$G$40*Indeks!$G$2)/Indeks!H54*100</f>
        <v>0.05557590718496125</v>
      </c>
      <c r="H54" s="84">
        <f t="shared" si="3"/>
        <v>1.0000000000000002</v>
      </c>
    </row>
    <row r="55" spans="1:8" ht="13.5" customHeight="1" hidden="1">
      <c r="A55" s="21">
        <f t="shared" si="4"/>
        <v>2009</v>
      </c>
      <c r="B55" s="22" t="s">
        <v>11</v>
      </c>
      <c r="C55" s="85">
        <f>(Indeks!C55/Indeks!$C$40*Indeks!$C$2)/Indeks!H55*100</f>
        <v>0.6297565213823106</v>
      </c>
      <c r="D55" s="85">
        <f>(Indeks!D55/Indeks!$D$40*Indeks!$D$2)/Indeks!H55*100</f>
        <v>0.1432823766038362</v>
      </c>
      <c r="E55" s="85">
        <f>(Indeks!E55/Indeks!$E$40*Indeks!$E$2)/Indeks!H55*100</f>
        <v>0.08226104232240096</v>
      </c>
      <c r="F55" s="85">
        <f>(Indeks!F55/Indeks!$F$40*Indeks!$F$2)/Indeks!H55*100</f>
        <v>0.09273316935212364</v>
      </c>
      <c r="G55" s="85">
        <f>(Indeks!G55/Indeks!$G$40*Indeks!$G$2)/Indeks!H55*100</f>
        <v>0.051966890339328525</v>
      </c>
      <c r="H55" s="85">
        <f t="shared" si="3"/>
        <v>1</v>
      </c>
    </row>
    <row r="56" spans="1:8" ht="13.5" customHeight="1" hidden="1">
      <c r="A56" s="12">
        <f t="shared" si="4"/>
        <v>2009</v>
      </c>
      <c r="B56" s="13" t="s">
        <v>12</v>
      </c>
      <c r="C56" s="83">
        <f>(Indeks!C56/Indeks!$C$40*Indeks!$C$2)/Indeks!H56*100</f>
        <v>0.6329674385884925</v>
      </c>
      <c r="D56" s="83">
        <f>(Indeks!D56/Indeks!$D$40*Indeks!$D$2)/Indeks!H56*100</f>
        <v>0.14103499060019578</v>
      </c>
      <c r="E56" s="83">
        <f>(Indeks!E56/Indeks!$E$40*Indeks!$E$2)/Indeks!H56*100</f>
        <v>0.08295768243166307</v>
      </c>
      <c r="F56" s="83">
        <f>(Indeks!F56/Indeks!$F$40*Indeks!$F$2)/Indeks!H56*100</f>
        <v>0.09357695376196155</v>
      </c>
      <c r="G56" s="83">
        <f>(Indeks!G56/Indeks!$G$40*Indeks!$G$2)/Indeks!H56*100</f>
        <v>0.049462934617687235</v>
      </c>
      <c r="H56" s="83">
        <f t="shared" si="3"/>
        <v>1</v>
      </c>
    </row>
    <row r="57" spans="1:8" ht="13.5" customHeight="1" hidden="1">
      <c r="A57" s="16">
        <f t="shared" si="4"/>
        <v>2009</v>
      </c>
      <c r="B57" s="17" t="s">
        <v>13</v>
      </c>
      <c r="C57" s="84">
        <f>(Indeks!C57/Indeks!$C$40*Indeks!$C$2)/Indeks!H57*100</f>
        <v>0.6310994304982942</v>
      </c>
      <c r="D57" s="84">
        <f>(Indeks!D57/Indeks!$D$40*Indeks!$D$2)/Indeks!H57*100</f>
        <v>0.14525063758930537</v>
      </c>
      <c r="E57" s="84">
        <f>(Indeks!E57/Indeks!$E$40*Indeks!$E$2)/Indeks!H57*100</f>
        <v>0.08264375829655682</v>
      </c>
      <c r="F57" s="84">
        <f>(Indeks!F57/Indeks!$F$40*Indeks!$F$2)/Indeks!H57*100</f>
        <v>0.09219116737931689</v>
      </c>
      <c r="G57" s="84">
        <f>(Indeks!G57/Indeks!$G$40*Indeks!$G$2)/Indeks!H57*100</f>
        <v>0.048815006236526765</v>
      </c>
      <c r="H57" s="84">
        <f t="shared" si="3"/>
        <v>1</v>
      </c>
    </row>
    <row r="58" spans="1:8" ht="13.5" customHeight="1" hidden="1">
      <c r="A58" s="21">
        <f t="shared" si="4"/>
        <v>2009</v>
      </c>
      <c r="B58" s="26" t="s">
        <v>31</v>
      </c>
      <c r="C58" s="85">
        <f>(Indeks!C58/Indeks!$C$40*Indeks!$C$2)/Indeks!H58*100</f>
        <v>0.6328855323168532</v>
      </c>
      <c r="D58" s="85">
        <f>(Indeks!D58/Indeks!$D$40*Indeks!$D$2)/Indeks!H58*100</f>
        <v>0.14557331848852614</v>
      </c>
      <c r="E58" s="85">
        <f>(Indeks!E58/Indeks!$E$40*Indeks!$E$2)/Indeks!H58*100</f>
        <v>0.08229493272090425</v>
      </c>
      <c r="F58" s="85">
        <f>(Indeks!F58/Indeks!$F$40*Indeks!$F$2)/Indeks!H58*100</f>
        <v>0.09175604303450673</v>
      </c>
      <c r="G58" s="85">
        <f>(Indeks!G58/Indeks!$G$40*Indeks!$G$2)/Indeks!H58*100</f>
        <v>0.047490173439209714</v>
      </c>
      <c r="H58" s="85">
        <f t="shared" si="3"/>
        <v>1</v>
      </c>
    </row>
    <row r="59" spans="1:8" ht="13.5" customHeight="1" hidden="1">
      <c r="A59" s="12">
        <f t="shared" si="4"/>
        <v>2009</v>
      </c>
      <c r="B59" s="13" t="s">
        <v>14</v>
      </c>
      <c r="C59" s="83">
        <f>(Indeks!C59/Indeks!$C$40*Indeks!$C$2)/Indeks!H59*100</f>
        <v>0.6314578063737005</v>
      </c>
      <c r="D59" s="83">
        <f>(Indeks!D59/Indeks!$D$40*Indeks!$D$2)/Indeks!H59*100</f>
        <v>0.15007072341601863</v>
      </c>
      <c r="E59" s="83">
        <f>(Indeks!E59/Indeks!$E$40*Indeks!$E$2)/Indeks!H59*100</f>
        <v>0.08231472806379665</v>
      </c>
      <c r="F59" s="83">
        <f>(Indeks!F59/Indeks!$F$40*Indeks!$F$2)/Indeks!H59*100</f>
        <v>0.09026608097491767</v>
      </c>
      <c r="G59" s="83">
        <f>(Indeks!G59/Indeks!$G$40*Indeks!$G$2)/Indeks!H59*100</f>
        <v>0.04589066117156654</v>
      </c>
      <c r="H59" s="83">
        <f>SUM(C59:G59)</f>
        <v>1.0000000000000002</v>
      </c>
    </row>
    <row r="60" spans="1:8" ht="13.5" customHeight="1" hidden="1">
      <c r="A60" s="63">
        <f t="shared" si="4"/>
        <v>2009</v>
      </c>
      <c r="B60" s="64" t="s">
        <v>15</v>
      </c>
      <c r="C60" s="91">
        <f>(Indeks!C60/Indeks!$C$40*Indeks!$C$2)/Indeks!H60*100</f>
        <v>0.635673934072599</v>
      </c>
      <c r="D60" s="91">
        <f>(Indeks!D60/Indeks!$D$40*Indeks!$D$2)/Indeks!H60*100</f>
        <v>0.14787353107986412</v>
      </c>
      <c r="E60" s="91">
        <f>(Indeks!E60/Indeks!$E$40*Indeks!$E$2)/Indeks!H60*100</f>
        <v>0.08245069611725754</v>
      </c>
      <c r="F60" s="91">
        <f>(Indeks!F60/Indeks!$F$40*Indeks!$F$2)/Indeks!H60*100</f>
        <v>0.09068426588612952</v>
      </c>
      <c r="G60" s="91">
        <f>(Indeks!G60/Indeks!$G$40*Indeks!$G$2)/Indeks!H60*100</f>
        <v>0.04331757284414984</v>
      </c>
      <c r="H60" s="91">
        <f>SUM(C60:G60)</f>
        <v>1</v>
      </c>
    </row>
    <row r="61" spans="1:8" ht="13.5" customHeight="1" hidden="1">
      <c r="A61" s="32">
        <f t="shared" si="4"/>
        <v>2009</v>
      </c>
      <c r="B61" s="67" t="s">
        <v>16</v>
      </c>
      <c r="C61" s="92">
        <f>(Indeks!C61/Indeks!$C$40*Indeks!$C$2)/Indeks!H61*100</f>
        <v>0.6320382800067331</v>
      </c>
      <c r="D61" s="92">
        <f>(Indeks!D61/Indeks!$D$40*Indeks!$D$2)/Indeks!H61*100</f>
        <v>0.1548887542902017</v>
      </c>
      <c r="E61" s="92">
        <f>(Indeks!E61/Indeks!$E$40*Indeks!$E$2)/Indeks!H61*100</f>
        <v>0.08204282079942651</v>
      </c>
      <c r="F61" s="92">
        <f>(Indeks!F61/Indeks!$F$40*Indeks!$F$2)/Indeks!H61*100</f>
        <v>0.08927735052068661</v>
      </c>
      <c r="G61" s="92">
        <f>(Indeks!G61/Indeks!$G$40*Indeks!$G$2)/Indeks!H61*100</f>
        <v>0.04175279438295205</v>
      </c>
      <c r="H61" s="92">
        <f>SUM(C61:G61)</f>
        <v>1</v>
      </c>
    </row>
    <row r="62" spans="1:8" ht="13.5" customHeight="1" hidden="1">
      <c r="A62" s="32">
        <f t="shared" si="4"/>
        <v>2009</v>
      </c>
      <c r="B62" s="67" t="s">
        <v>17</v>
      </c>
      <c r="C62" s="92">
        <f>(Indeks!C62/Indeks!$C$40*Indeks!$C$2)/Indeks!H62*100</f>
        <v>0.635728052679386</v>
      </c>
      <c r="D62" s="92">
        <f>(Indeks!D62/Indeks!$D$40*Indeks!$D$2)/Indeks!H62*100</f>
        <v>0.15153440046703587</v>
      </c>
      <c r="E62" s="92">
        <f>(Indeks!E62/Indeks!$E$40*Indeks!$E$2)/Indeks!H62*100</f>
        <v>0.08265942912141255</v>
      </c>
      <c r="F62" s="92">
        <f>(Indeks!F62/Indeks!$F$40*Indeks!$F$2)/Indeks!H62*100</f>
        <v>0.08970644118748874</v>
      </c>
      <c r="G62" s="92">
        <f>(Indeks!G62/Indeks!$G$40*Indeks!$G$2)/Indeks!H62*100</f>
        <v>0.04037167654467684</v>
      </c>
      <c r="H62" s="92">
        <f>SUM(C62:G62)</f>
        <v>1</v>
      </c>
    </row>
    <row r="63" spans="1:8" ht="13.5" customHeight="1" hidden="1" thickBot="1">
      <c r="A63" s="72">
        <f t="shared" si="4"/>
        <v>2009</v>
      </c>
      <c r="B63" s="73" t="s">
        <v>18</v>
      </c>
      <c r="C63" s="93">
        <f>(Indeks!C63/Indeks!$C$40*Indeks!$C$2)/Indeks!H63*100</f>
        <v>0.6323254321232349</v>
      </c>
      <c r="D63" s="93">
        <f>(Indeks!D63/Indeks!$D$40*Indeks!$D$2)/Indeks!H63*100</f>
        <v>0.1507233397252296</v>
      </c>
      <c r="E63" s="93">
        <f>(Indeks!E63/Indeks!$E$40*Indeks!$E$2)/Indeks!H63*100</f>
        <v>0.08221700932964339</v>
      </c>
      <c r="F63" s="93">
        <f>(Indeks!F63/Indeks!$F$40*Indeks!$F$2)/Indeks!H63*100</f>
        <v>0.08885987106760006</v>
      </c>
      <c r="G63" s="93">
        <f>(Indeks!G63/Indeks!$G$40*Indeks!$G$2)/Indeks!H63*100</f>
        <v>0.04587434775429197</v>
      </c>
      <c r="H63" s="93">
        <f>SUM(C63:G63)</f>
        <v>0.9999999999999999</v>
      </c>
    </row>
    <row r="64" spans="1:8" ht="13.5" customHeight="1" hidden="1">
      <c r="A64" s="56">
        <v>2010</v>
      </c>
      <c r="B64" s="57" t="s">
        <v>8</v>
      </c>
      <c r="C64" s="147">
        <f>(Indeks!C64/Indeks!$C$40*Indeks!$C$2)/Indeks!H64*100</f>
        <v>0.6338620269822676</v>
      </c>
      <c r="D64" s="147">
        <f>(Indeks!D64/Indeks!$D$40*Indeks!$D$2)/Indeks!H64*100</f>
        <v>0.15413772432973435</v>
      </c>
      <c r="E64" s="147">
        <f>(Indeks!E64/Indeks!$E$40*Indeks!$E$2)/Indeks!H64*100</f>
        <v>0.08178119723117762</v>
      </c>
      <c r="F64" s="147">
        <f>(Indeks!F64/Indeks!$F$40*Indeks!$F$2)/Indeks!H64*100</f>
        <v>0.08829772427417705</v>
      </c>
      <c r="G64" s="147">
        <f>(Indeks!G64/Indeks!$G$40*Indeks!$G$2)/Indeks!H64*100</f>
        <v>0.04192132718264319</v>
      </c>
      <c r="H64" s="147">
        <f aca="true" t="shared" si="5" ref="H64:H70">SUM(C64:G64)</f>
        <v>0.9999999999999998</v>
      </c>
    </row>
    <row r="65" spans="1:8" ht="13.5" customHeight="1" hidden="1">
      <c r="A65" s="12">
        <f>A64</f>
        <v>2010</v>
      </c>
      <c r="B65" s="13" t="s">
        <v>9</v>
      </c>
      <c r="C65" s="116">
        <f>(Indeks!C65/Indeks!$C$40*Indeks!$C$2)/Indeks!H65*100</f>
        <v>0.63619543729795</v>
      </c>
      <c r="D65" s="148">
        <f>(Indeks!D65/Indeks!$D$40*Indeks!$D$2)/Indeks!H65*100</f>
        <v>0.15212085274151568</v>
      </c>
      <c r="E65" s="148">
        <f>(Indeks!E65/Indeks!$E$40*Indeks!$E$2)/Indeks!H65*100</f>
        <v>0.08194556515249525</v>
      </c>
      <c r="F65" s="148">
        <f>(Indeks!F65/Indeks!$F$40*Indeks!$F$2)/Indeks!H65*100</f>
        <v>0.08853131310161726</v>
      </c>
      <c r="G65" s="148">
        <f>(Indeks!G65/Indeks!$G$40*Indeks!$G$2)/Indeks!H65*100</f>
        <v>0.04120683170642179</v>
      </c>
      <c r="H65" s="148">
        <f t="shared" si="5"/>
        <v>1</v>
      </c>
    </row>
    <row r="66" spans="1:8" ht="13.5" customHeight="1" hidden="1">
      <c r="A66" s="16">
        <f aca="true" t="shared" si="6" ref="A66:A75">A65</f>
        <v>2010</v>
      </c>
      <c r="B66" s="17" t="s">
        <v>10</v>
      </c>
      <c r="C66" s="117">
        <f>(Indeks!C66/Indeks!$C$40*Indeks!$C$2)/Indeks!H66*100</f>
        <v>0.6318566839925431</v>
      </c>
      <c r="D66" s="117">
        <f>(Indeks!D66/Indeks!$D$40*Indeks!$D$2)/Indeks!H66*100</f>
        <v>0.1591334165450841</v>
      </c>
      <c r="E66" s="117">
        <f>(Indeks!E66/Indeks!$E$40*Indeks!$E$2)/Indeks!H66*100</f>
        <v>0.0815903456943497</v>
      </c>
      <c r="F66" s="117">
        <f>(Indeks!F66/Indeks!$F$40*Indeks!$F$2)/Indeks!H66*100</f>
        <v>0.08883588579366566</v>
      </c>
      <c r="G66" s="117">
        <f>(Indeks!G66/Indeks!$G$40*Indeks!$G$2)/Indeks!H66*100</f>
        <v>0.03858366797435725</v>
      </c>
      <c r="H66" s="117">
        <f t="shared" si="5"/>
        <v>0.9999999999999998</v>
      </c>
    </row>
    <row r="67" spans="1:8" ht="13.5" customHeight="1" hidden="1">
      <c r="A67" s="21">
        <f t="shared" si="6"/>
        <v>2010</v>
      </c>
      <c r="B67" s="22" t="s">
        <v>11</v>
      </c>
      <c r="C67" s="118">
        <f>(Indeks!C67/Indeks!$C$40*Indeks!$C$2)/Indeks!H67*100</f>
        <v>0.634443679130813</v>
      </c>
      <c r="D67" s="118">
        <f>(Indeks!D67/Indeks!$D$40*Indeks!$D$2)/Indeks!H67*100</f>
        <v>0.15678751662615942</v>
      </c>
      <c r="E67" s="118">
        <f>(Indeks!E67/Indeks!$E$40*Indeks!$E$2)/Indeks!H67*100</f>
        <v>0.08259548970360948</v>
      </c>
      <c r="F67" s="118">
        <f>(Indeks!F67/Indeks!$F$40*Indeks!$F$2)/Indeks!H67*100</f>
        <v>0.08916759263661703</v>
      </c>
      <c r="G67" s="118">
        <f>(Indeks!G67/Indeks!$G$40*Indeks!$G$2)/Indeks!H67*100</f>
        <v>0.03700572190280108</v>
      </c>
      <c r="H67" s="118">
        <f t="shared" si="5"/>
        <v>1</v>
      </c>
    </row>
    <row r="68" spans="1:8" ht="13.5" customHeight="1" hidden="1">
      <c r="A68" s="12">
        <f t="shared" si="6"/>
        <v>2010</v>
      </c>
      <c r="B68" s="13" t="s">
        <v>12</v>
      </c>
      <c r="C68" s="116">
        <f>(Indeks!C68/Indeks!$C$40*Indeks!$C$2)/Indeks!H68*100</f>
        <v>0.6306269327819427</v>
      </c>
      <c r="D68" s="116">
        <f>(Indeks!D68/Indeks!$D$40*Indeks!$D$2)/Indeks!H68*100</f>
        <v>0.16234264699698137</v>
      </c>
      <c r="E68" s="116">
        <f>(Indeks!E68/Indeks!$E$40*Indeks!$E$2)/Indeks!H68*100</f>
        <v>0.08257121103221603</v>
      </c>
      <c r="F68" s="116">
        <f>(Indeks!F68/Indeks!$F$40*Indeks!$F$2)/Indeks!H68*100</f>
        <v>0.08890221312386766</v>
      </c>
      <c r="G68" s="116">
        <f>(Indeks!G68/Indeks!$G$40*Indeks!$G$2)/Indeks!H68*100</f>
        <v>0.03555699606499221</v>
      </c>
      <c r="H68" s="116">
        <f t="shared" si="5"/>
        <v>0.9999999999999999</v>
      </c>
    </row>
    <row r="69" spans="1:8" ht="13.5" customHeight="1" hidden="1">
      <c r="A69" s="16">
        <f t="shared" si="6"/>
        <v>2010</v>
      </c>
      <c r="B69" s="17" t="s">
        <v>13</v>
      </c>
      <c r="C69" s="117">
        <f>(Indeks!C69/Indeks!$C$40*Indeks!$C$2)/Indeks!H69*100</f>
        <v>0.6279883863306859</v>
      </c>
      <c r="D69" s="117">
        <f>(Indeks!D69/Indeks!$D$40*Indeks!$D$2)/Indeks!H69*100</f>
        <v>0.1670945553259171</v>
      </c>
      <c r="E69" s="117">
        <f>(Indeks!E69/Indeks!$E$40*Indeks!$E$2)/Indeks!H69*100</f>
        <v>0.08236019827456242</v>
      </c>
      <c r="F69" s="117">
        <f>(Indeks!F69/Indeks!$F$40*Indeks!$F$2)/Indeks!H69*100</f>
        <v>0.08898009459975743</v>
      </c>
      <c r="G69" s="117">
        <f>(Indeks!G69/Indeks!$G$40*Indeks!$G$2)/Indeks!H69*100</f>
        <v>0.033576765469077</v>
      </c>
      <c r="H69" s="117">
        <f t="shared" si="5"/>
        <v>0.9999999999999998</v>
      </c>
    </row>
    <row r="70" spans="1:8" ht="13.5" customHeight="1" hidden="1">
      <c r="A70" s="21">
        <f t="shared" si="6"/>
        <v>2010</v>
      </c>
      <c r="B70" s="26" t="s">
        <v>31</v>
      </c>
      <c r="C70" s="118">
        <f>(Indeks!C70/Indeks!$C$40*Indeks!$C$2)/Indeks!H70*100</f>
        <v>0.63175476327844</v>
      </c>
      <c r="D70" s="118">
        <f>(Indeks!D70/Indeks!$D$40*Indeks!$D$2)/Indeks!H70*100</f>
        <v>0.16855051421420622</v>
      </c>
      <c r="E70" s="118">
        <f>(Indeks!E70/Indeks!$E$40*Indeks!$E$2)/Indeks!H70*100</f>
        <v>0.08194443950386808</v>
      </c>
      <c r="F70" s="118">
        <f>(Indeks!F70/Indeks!$F$40*Indeks!$F$2)/Indeks!H70*100</f>
        <v>0.08835188705209794</v>
      </c>
      <c r="G70" s="118">
        <f>(Indeks!G70/Indeks!$G$40*Indeks!$G$2)/Indeks!H70*100</f>
        <v>0.02939839595138772</v>
      </c>
      <c r="H70" s="118">
        <f t="shared" si="5"/>
        <v>1</v>
      </c>
    </row>
    <row r="71" spans="1:8" ht="13.5" customHeight="1" hidden="1">
      <c r="A71" s="12">
        <f t="shared" si="6"/>
        <v>2010</v>
      </c>
      <c r="B71" s="13" t="s">
        <v>14</v>
      </c>
      <c r="C71" s="116">
        <f>(Indeks!C71/Indeks!$C$40*Indeks!$C$2)/Indeks!H71*100</f>
        <v>0.6309228533348205</v>
      </c>
      <c r="D71" s="116">
        <f>(Indeks!D71/Indeks!$D$40*Indeks!$D$2)/Indeks!H71*100</f>
        <v>0.16740998949218996</v>
      </c>
      <c r="E71" s="116">
        <f>(Indeks!E71/Indeks!$E$40*Indeks!$E$2)/Indeks!H71*100</f>
        <v>0.0817029224188346</v>
      </c>
      <c r="F71" s="116">
        <f>(Indeks!F71/Indeks!$F$40*Indeks!$F$2)/Indeks!H71*100</f>
        <v>0.08975530427975062</v>
      </c>
      <c r="G71" s="116">
        <f>(Indeks!G71/Indeks!$G$40*Indeks!$G$2)/Indeks!H71*100</f>
        <v>0.03020893047440404</v>
      </c>
      <c r="H71" s="116">
        <f>SUM(C71:G71)</f>
        <v>0.9999999999999998</v>
      </c>
    </row>
    <row r="72" spans="1:8" ht="13.5" customHeight="1" hidden="1">
      <c r="A72" s="63">
        <f t="shared" si="6"/>
        <v>2010</v>
      </c>
      <c r="B72" s="64" t="s">
        <v>15</v>
      </c>
      <c r="C72" s="91">
        <f>(Indeks!C72/Indeks!$C$40*Indeks!$C$2)/Indeks!H72*100</f>
        <v>0.6323627022988682</v>
      </c>
      <c r="D72" s="91">
        <f>(Indeks!D72/Indeks!$D$40*Indeks!$D$2)/Indeks!H72*100</f>
        <v>0.16514511591215866</v>
      </c>
      <c r="E72" s="91">
        <f>(Indeks!E72/Indeks!$E$40*Indeks!$E$2)/Indeks!H72*100</f>
        <v>0.08188937923773507</v>
      </c>
      <c r="F72" s="91">
        <f>(Indeks!F72/Indeks!$F$40*Indeks!$F$2)/Indeks!H72*100</f>
        <v>0.08996013769353789</v>
      </c>
      <c r="G72" s="91">
        <f>(Indeks!G72/Indeks!$G$40*Indeks!$G$2)/Indeks!H72*100</f>
        <v>0.03064266485770013</v>
      </c>
      <c r="H72" s="91">
        <f>SUM(C72:G72)</f>
        <v>0.9999999999999999</v>
      </c>
    </row>
    <row r="73" spans="1:8" ht="13.5" customHeight="1" hidden="1">
      <c r="A73" s="32">
        <f t="shared" si="6"/>
        <v>2010</v>
      </c>
      <c r="B73" s="67" t="s">
        <v>16</v>
      </c>
      <c r="C73" s="92">
        <f>(Indeks!C73/Indeks!$C$40*Indeks!$C$2)/Indeks!H73*100</f>
        <v>0.6345199259218989</v>
      </c>
      <c r="D73" s="92">
        <f>(Indeks!D73/Indeks!$D$40*Indeks!$D$2)/Indeks!H73*100</f>
        <v>0.16556864874354468</v>
      </c>
      <c r="E73" s="92">
        <f>(Indeks!E73/Indeks!$E$40*Indeks!$E$2)/Indeks!H73*100</f>
        <v>0.08236791161566726</v>
      </c>
      <c r="F73" s="92">
        <f>(Indeks!F73/Indeks!$F$40*Indeks!$F$2)/Indeks!H73*100</f>
        <v>0.08938236665233887</v>
      </c>
      <c r="G73" s="92">
        <f>(Indeks!G73/Indeks!$G$40*Indeks!$G$2)/Indeks!H73*100</f>
        <v>0.028161147066550447</v>
      </c>
      <c r="H73" s="92">
        <f>SUM(C73:G73)</f>
        <v>1.0000000000000002</v>
      </c>
    </row>
    <row r="74" spans="1:8" ht="13.5" customHeight="1" hidden="1">
      <c r="A74" s="32">
        <f t="shared" si="6"/>
        <v>2010</v>
      </c>
      <c r="B74" s="67" t="s">
        <v>17</v>
      </c>
      <c r="C74" s="155">
        <f>(Indeks!C74/Indeks!$C$40*Indeks!$C$2)/Indeks!H74*100</f>
        <v>0.630681222749983</v>
      </c>
      <c r="D74" s="155">
        <f>(Indeks!D74/Indeks!$D$40*Indeks!$D$2)/Indeks!H74*100</f>
        <v>0.1690395480634508</v>
      </c>
      <c r="E74" s="155">
        <f>(Indeks!E74/Indeks!$E$40*Indeks!$E$2)/Indeks!H74*100</f>
        <v>0.08220322120209059</v>
      </c>
      <c r="F74" s="155">
        <f>(Indeks!F74/Indeks!$F$40*Indeks!$F$2)/Indeks!H74*100</f>
        <v>0.08875233532689027</v>
      </c>
      <c r="G74" s="155">
        <f>(Indeks!G74/Indeks!$G$40*Indeks!$G$2)/Indeks!H74*100</f>
        <v>0.02932367265758539</v>
      </c>
      <c r="H74" s="155">
        <f>SUM(C74:G74)</f>
        <v>1</v>
      </c>
    </row>
    <row r="75" spans="1:8" ht="13.5" customHeight="1" hidden="1" thickBot="1">
      <c r="A75" s="72">
        <f t="shared" si="6"/>
        <v>2010</v>
      </c>
      <c r="B75" s="73" t="s">
        <v>18</v>
      </c>
      <c r="C75" s="93">
        <f>(Indeks!C75/Indeks!$C$40*Indeks!$C$2)/Indeks!H75*100</f>
        <v>0.6305798298351737</v>
      </c>
      <c r="D75" s="93">
        <f>(Indeks!D75/Indeks!$D$40*Indeks!$D$2)/Indeks!H75*100</f>
        <v>0.16465520097592828</v>
      </c>
      <c r="E75" s="93">
        <f>(Indeks!E75/Indeks!$E$40*Indeks!$E$2)/Indeks!H75*100</f>
        <v>0.08212329294560353</v>
      </c>
      <c r="F75" s="93">
        <f>(Indeks!F75/Indeks!$F$40*Indeks!$F$2)/Indeks!H75*100</f>
        <v>0.08811315089016747</v>
      </c>
      <c r="G75" s="93">
        <f>(Indeks!G75/Indeks!$G$40*Indeks!$G$2)/Indeks!H75*100</f>
        <v>0.03452852535312734</v>
      </c>
      <c r="H75" s="93">
        <f>SUM(C75:G75)</f>
        <v>1.0000000000000004</v>
      </c>
    </row>
    <row r="76" spans="1:8" ht="13.5" customHeight="1" hidden="1">
      <c r="A76" s="56">
        <v>2011</v>
      </c>
      <c r="B76" s="57" t="s">
        <v>8</v>
      </c>
      <c r="C76" s="147">
        <f>(Indeks!C76/Indeks!$C$40*Indeks!$C$2)/Indeks!H76*100</f>
        <v>0.6307483390385293</v>
      </c>
      <c r="D76" s="147">
        <f>(Indeks!D76/Indeks!$D$40*Indeks!$D$2)/Indeks!H76*100</f>
        <v>0.1676694054758708</v>
      </c>
      <c r="E76" s="147">
        <f>(Indeks!E76/Indeks!$E$40*Indeks!$E$2)/Indeks!H76*100</f>
        <v>0.08159228095390646</v>
      </c>
      <c r="F76" s="147">
        <f>(Indeks!F76/Indeks!$F$40*Indeks!$F$2)/Indeks!H76*100</f>
        <v>0.08667473009738887</v>
      </c>
      <c r="G76" s="147">
        <f>(Indeks!G76/Indeks!$G$40*Indeks!$G$2)/Indeks!H76*100</f>
        <v>0.03331524443430437</v>
      </c>
      <c r="H76" s="147">
        <f aca="true" t="shared" si="7" ref="H76:H82">SUM(C76:G76)</f>
        <v>0.9999999999999999</v>
      </c>
    </row>
    <row r="77" spans="1:8" ht="13.5" customHeight="1" hidden="1">
      <c r="A77" s="12">
        <f>A76</f>
        <v>2011</v>
      </c>
      <c r="B77" s="13" t="s">
        <v>9</v>
      </c>
      <c r="C77" s="116">
        <f>(Indeks!C77/Indeks!$C$40*Indeks!$C$2)/Indeks!H77*100</f>
        <v>0.6283745957085238</v>
      </c>
      <c r="D77" s="116">
        <f>(Indeks!D77/Indeks!$D$40*Indeks!$D$2)/Indeks!H77*100</f>
        <v>0.1714610077737328</v>
      </c>
      <c r="E77" s="116">
        <f>(Indeks!E77/Indeks!$E$40*Indeks!$E$2)/Indeks!H77*100</f>
        <v>0.0813511967619096</v>
      </c>
      <c r="F77" s="116">
        <f>(Indeks!F77/Indeks!$F$40*Indeks!$F$2)/Indeks!H77*100</f>
        <v>0.08670170423985873</v>
      </c>
      <c r="G77" s="116">
        <f>(Indeks!G77/Indeks!$G$40*Indeks!$G$2)/Indeks!H77*100</f>
        <v>0.032111495515975134</v>
      </c>
      <c r="H77" s="116">
        <f t="shared" si="7"/>
        <v>1.0000000000000002</v>
      </c>
    </row>
    <row r="78" spans="1:8" ht="13.5" customHeight="1" hidden="1">
      <c r="A78" s="16">
        <f aca="true" t="shared" si="8" ref="A78:A87">A77</f>
        <v>2011</v>
      </c>
      <c r="B78" s="17" t="s">
        <v>10</v>
      </c>
      <c r="C78" s="117">
        <f>(Indeks!C78/Indeks!$C$40*Indeks!$C$2)/Indeks!H78*100</f>
        <v>0.6223676583425592</v>
      </c>
      <c r="D78" s="117">
        <f>(Indeks!D78/Indeks!$D$40*Indeks!$D$2)/Indeks!H78*100</f>
        <v>0.17588699777315647</v>
      </c>
      <c r="E78" s="117">
        <f>(Indeks!E78/Indeks!$E$40*Indeks!$E$2)/Indeks!H78*100</f>
        <v>0.08063886878052251</v>
      </c>
      <c r="F78" s="117">
        <f>(Indeks!F78/Indeks!$F$40*Indeks!$F$2)/Indeks!H78*100</f>
        <v>0.08657245602244217</v>
      </c>
      <c r="G78" s="117">
        <f>(Indeks!G78/Indeks!$G$40*Indeks!$G$2)/Indeks!H78*100</f>
        <v>0.03453401908131953</v>
      </c>
      <c r="H78" s="117">
        <f t="shared" si="7"/>
        <v>0.9999999999999999</v>
      </c>
    </row>
    <row r="79" spans="1:8" ht="13.5" customHeight="1" hidden="1">
      <c r="A79" s="21">
        <f t="shared" si="8"/>
        <v>2011</v>
      </c>
      <c r="B79" s="22" t="s">
        <v>11</v>
      </c>
      <c r="C79" s="118">
        <f>(Indeks!C79/Indeks!$C$40*Indeks!$C$2)/Indeks!H79*100</f>
        <v>0.6200871803712552</v>
      </c>
      <c r="D79" s="118">
        <f>(Indeks!D79/Indeks!$D$40*Indeks!$D$2)/Indeks!H79*100</f>
        <v>0.1784494469309122</v>
      </c>
      <c r="E79" s="118">
        <f>(Indeks!E79/Indeks!$E$40*Indeks!$E$2)/Indeks!H79*100</f>
        <v>0.08104849426062156</v>
      </c>
      <c r="F79" s="118">
        <f>(Indeks!F79/Indeks!$F$40*Indeks!$F$2)/Indeks!H79*100</f>
        <v>0.08553306201826279</v>
      </c>
      <c r="G79" s="118">
        <f>(Indeks!G79/Indeks!$G$40*Indeks!$G$2)/Indeks!H79*100</f>
        <v>0.03488181641894812</v>
      </c>
      <c r="H79" s="118">
        <f t="shared" si="7"/>
        <v>1</v>
      </c>
    </row>
    <row r="80" spans="1:8" ht="13.5" customHeight="1" hidden="1">
      <c r="A80" s="12">
        <f t="shared" si="8"/>
        <v>2011</v>
      </c>
      <c r="B80" s="13" t="s">
        <v>12</v>
      </c>
      <c r="C80" s="116">
        <f>(Indeks!C80/Indeks!$C$40*Indeks!$C$2)/Indeks!H80*100</f>
        <v>0.6164641207833874</v>
      </c>
      <c r="D80" s="116">
        <f>(Indeks!D80/Indeks!$D$40*Indeks!$D$2)/Indeks!H80*100</f>
        <v>0.18150933062619778</v>
      </c>
      <c r="E80" s="116">
        <f>(Indeks!E80/Indeks!$E$40*Indeks!$E$2)/Indeks!H80*100</f>
        <v>0.08102652320240064</v>
      </c>
      <c r="F80" s="116">
        <f>(Indeks!F80/Indeks!$F$40*Indeks!$F$2)/Indeks!H80*100</f>
        <v>0.08503330748336106</v>
      </c>
      <c r="G80" s="116">
        <f>(Indeks!G80/Indeks!$G$40*Indeks!$G$2)/Indeks!H80*100</f>
        <v>0.035966717904652924</v>
      </c>
      <c r="H80" s="116">
        <f t="shared" si="7"/>
        <v>0.9999999999999998</v>
      </c>
    </row>
    <row r="81" spans="1:8" ht="13.5" customHeight="1" hidden="1">
      <c r="A81" s="16">
        <f t="shared" si="8"/>
        <v>2011</v>
      </c>
      <c r="B81" s="17" t="s">
        <v>13</v>
      </c>
      <c r="C81" s="117">
        <f>(Indeks!C81/Indeks!$C$40*Indeks!$C$2)/Indeks!H81*100</f>
        <v>0.6132639321304225</v>
      </c>
      <c r="D81" s="117">
        <f>(Indeks!D81/Indeks!$D$40*Indeks!$D$2)/Indeks!H81*100</f>
        <v>0.18685438755687794</v>
      </c>
      <c r="E81" s="117">
        <f>(Indeks!E81/Indeks!$E$40*Indeks!$E$2)/Indeks!H81*100</f>
        <v>0.08092678165391369</v>
      </c>
      <c r="F81" s="117">
        <f>(Indeks!F81/Indeks!$F$40*Indeks!$F$2)/Indeks!H81*100</f>
        <v>0.08399072197575844</v>
      </c>
      <c r="G81" s="117">
        <f>(Indeks!G81/Indeks!$G$40*Indeks!$G$2)/Indeks!H81*100</f>
        <v>0.03496417668302722</v>
      </c>
      <c r="H81" s="117">
        <f t="shared" si="7"/>
        <v>0.9999999999999998</v>
      </c>
    </row>
    <row r="82" spans="1:8" ht="13.5" customHeight="1" hidden="1">
      <c r="A82" s="21">
        <f t="shared" si="8"/>
        <v>2011</v>
      </c>
      <c r="B82" s="26" t="s">
        <v>31</v>
      </c>
      <c r="C82" s="118">
        <f>(Indeks!C82/Indeks!$C$40*Indeks!$C$2)/Indeks!H82*100</f>
        <v>0.6198956628333266</v>
      </c>
      <c r="D82" s="118">
        <f>(Indeks!D82/Indeks!$D$40*Indeks!$D$2)/Indeks!H82*100</f>
        <v>0.18138825243294232</v>
      </c>
      <c r="E82" s="118">
        <f>(Indeks!E82/Indeks!$E$40*Indeks!$E$2)/Indeks!H82*100</f>
        <v>0.08152335402090405</v>
      </c>
      <c r="F82" s="118">
        <f>(Indeks!F82/Indeks!$F$40*Indeks!$F$2)/Indeks!H82*100</f>
        <v>0.08378488917073748</v>
      </c>
      <c r="G82" s="118">
        <f>(Indeks!G82/Indeks!$G$40*Indeks!$G$2)/Indeks!H82*100</f>
        <v>0.03340784154208943</v>
      </c>
      <c r="H82" s="118">
        <f t="shared" si="7"/>
        <v>0.9999999999999999</v>
      </c>
    </row>
    <row r="83" spans="1:8" ht="13.5" customHeight="1" hidden="1">
      <c r="A83" s="12">
        <f t="shared" si="8"/>
        <v>2011</v>
      </c>
      <c r="B83" s="13" t="s">
        <v>14</v>
      </c>
      <c r="C83" s="116">
        <f>(Indeks!C83/Indeks!$C$40*Indeks!$C$2)/Indeks!H83*100</f>
        <v>0.6171772346822549</v>
      </c>
      <c r="D83" s="116">
        <f>(Indeks!D83/Indeks!$D$40*Indeks!$D$2)/Indeks!H83*100</f>
        <v>0.184790074717052</v>
      </c>
      <c r="E83" s="116">
        <f>(Indeks!E83/Indeks!$E$40*Indeks!$E$2)/Indeks!H83*100</f>
        <v>0.0809730567037063</v>
      </c>
      <c r="F83" s="116">
        <f>(Indeks!F83/Indeks!$F$40*Indeks!$F$2)/Indeks!H83*100</f>
        <v>0.08333146994768333</v>
      </c>
      <c r="G83" s="116">
        <f>(Indeks!G83/Indeks!$G$40*Indeks!$G$2)/Indeks!H83*100</f>
        <v>0.033728163949303246</v>
      </c>
      <c r="H83" s="116">
        <f>SUM(C83:G83)</f>
        <v>0.9999999999999999</v>
      </c>
    </row>
    <row r="84" spans="1:8" ht="13.5" customHeight="1" hidden="1">
      <c r="A84" s="63">
        <f t="shared" si="8"/>
        <v>2011</v>
      </c>
      <c r="B84" s="64" t="s">
        <v>15</v>
      </c>
      <c r="C84" s="91">
        <f>(Indeks!C84/Indeks!$C$40*Indeks!$C$2)/Indeks!H84*100</f>
        <v>0.617517796555728</v>
      </c>
      <c r="D84" s="91">
        <f>(Indeks!D84/Indeks!$D$40*Indeks!$D$2)/Indeks!H84*100</f>
        <v>0.1868813177400809</v>
      </c>
      <c r="E84" s="91">
        <f>(Indeks!E84/Indeks!$E$40*Indeks!$E$2)/Indeks!H84*100</f>
        <v>0.08095343830022451</v>
      </c>
      <c r="F84" s="91">
        <f>(Indeks!F84/Indeks!$F$40*Indeks!$F$2)/Indeks!H84*100</f>
        <v>0.08311931819349554</v>
      </c>
      <c r="G84" s="91">
        <f>(Indeks!G84/Indeks!$G$40*Indeks!$G$2)/Indeks!H84*100</f>
        <v>0.031528129210470796</v>
      </c>
      <c r="H84" s="91">
        <f>SUM(C84:G84)</f>
        <v>0.9999999999999997</v>
      </c>
    </row>
    <row r="85" spans="1:8" ht="13.5" customHeight="1" hidden="1">
      <c r="A85" s="32">
        <f t="shared" si="8"/>
        <v>2011</v>
      </c>
      <c r="B85" s="67" t="s">
        <v>16</v>
      </c>
      <c r="C85" s="155">
        <f>(Indeks!C85/Indeks!$C$40*Indeks!$C$2)/Indeks!H85*100</f>
        <v>0.6228402919669376</v>
      </c>
      <c r="D85" s="155">
        <f>(Indeks!D85/Indeks!$D$40*Indeks!$D$2)/Indeks!H85*100</f>
        <v>0.18364618365111945</v>
      </c>
      <c r="E85" s="155">
        <f>(Indeks!E85/Indeks!$E$40*Indeks!$E$2)/Indeks!H85*100</f>
        <v>0.08138082216285875</v>
      </c>
      <c r="F85" s="155">
        <f>(Indeks!F85/Indeks!$F$40*Indeks!$F$2)/Indeks!H85*100</f>
        <v>0.08407713119342944</v>
      </c>
      <c r="G85" s="155">
        <f>(Indeks!G85/Indeks!$G$40*Indeks!$G$2)/Indeks!H85*100</f>
        <v>0.028055571025654702</v>
      </c>
      <c r="H85" s="155">
        <f>SUM(C85:G85)</f>
        <v>0.9999999999999998</v>
      </c>
    </row>
    <row r="86" spans="1:8" ht="13.5" customHeight="1" hidden="1">
      <c r="A86" s="32">
        <f t="shared" si="8"/>
        <v>2011</v>
      </c>
      <c r="B86" s="67" t="s">
        <v>17</v>
      </c>
      <c r="C86" s="92">
        <f>(Indeks!C86/Indeks!$C$40*Indeks!$C$2)/Indeks!H86*100</f>
        <v>0.6220897579663783</v>
      </c>
      <c r="D86" s="92">
        <f>(Indeks!D86/Indeks!$D$40*Indeks!$D$2)/Indeks!H86*100</f>
        <v>0.18697576162229568</v>
      </c>
      <c r="E86" s="92">
        <f>(Indeks!E86/Indeks!$E$40*Indeks!$E$2)/Indeks!H86*100</f>
        <v>0.0815410022306631</v>
      </c>
      <c r="F86" s="92">
        <f>(Indeks!F86/Indeks!$F$40*Indeks!$F$2)/Indeks!H86*100</f>
        <v>0.08371663208541802</v>
      </c>
      <c r="G86" s="92">
        <f>(Indeks!G86/Indeks!$G$40*Indeks!$G$2)/Indeks!H86*100</f>
        <v>0.02567684609524477</v>
      </c>
      <c r="H86" s="92">
        <f>SUM(C86:G86)</f>
        <v>0.9999999999999999</v>
      </c>
    </row>
    <row r="87" spans="1:8" ht="13.5" customHeight="1" hidden="1" thickBot="1">
      <c r="A87" s="72">
        <f t="shared" si="8"/>
        <v>2011</v>
      </c>
      <c r="B87" s="73" t="s">
        <v>18</v>
      </c>
      <c r="C87" s="93">
        <f>(Indeks!C87/Indeks!$C$40*Indeks!$C$2)/Indeks!H87*100</f>
        <v>0.617942124424928</v>
      </c>
      <c r="D87" s="93">
        <f>(Indeks!D87/Indeks!$D$40*Indeks!$D$2)/Indeks!H87*100</f>
        <v>0.1871620709520937</v>
      </c>
      <c r="E87" s="93">
        <f>(Indeks!E87/Indeks!$E$40*Indeks!$E$2)/Indeks!H87*100</f>
        <v>0.08112560908170846</v>
      </c>
      <c r="F87" s="93">
        <f>(Indeks!F87/Indeks!$F$40*Indeks!$F$2)/Indeks!H87*100</f>
        <v>0.08418829789006449</v>
      </c>
      <c r="G87" s="93">
        <f>(Indeks!G87/Indeks!$G$40*Indeks!$G$2)/Indeks!H87*100</f>
        <v>0.029581897651205422</v>
      </c>
      <c r="H87" s="93">
        <f>SUM(C87:G87)</f>
        <v>1.0000000000000002</v>
      </c>
    </row>
    <row r="88" spans="1:8" ht="15" customHeight="1" hidden="1">
      <c r="A88" s="56">
        <v>2012</v>
      </c>
      <c r="B88" s="57" t="s">
        <v>8</v>
      </c>
      <c r="C88" s="147">
        <f>(Indeks!C88/Indeks!$C$40*Indeks!$C$2)/Indeks!H88*100</f>
        <v>0.6188643938286373</v>
      </c>
      <c r="D88" s="147">
        <f>(Indeks!D88/Indeks!$D$40*Indeks!$D$2)/Indeks!H88*100</f>
        <v>0.1908462827025273</v>
      </c>
      <c r="E88" s="147">
        <f>(Indeks!E88/Indeks!$E$40*Indeks!$E$2)/Indeks!H88*100</f>
        <v>0.08084782617042129</v>
      </c>
      <c r="F88" s="147">
        <f>(Indeks!F88/Indeks!$F$40*Indeks!$F$2)/Indeks!H88*100</f>
        <v>0.08353844127731634</v>
      </c>
      <c r="G88" s="147">
        <f>(Indeks!G88/Indeks!$G$40*Indeks!$G$2)/Indeks!H88*100</f>
        <v>0.025903056021097735</v>
      </c>
      <c r="H88" s="147">
        <f aca="true" t="shared" si="9" ref="H88:H94">SUM(C88:G88)</f>
        <v>1</v>
      </c>
    </row>
    <row r="89" spans="1:8" ht="15" customHeight="1" hidden="1">
      <c r="A89" s="12">
        <f>A88</f>
        <v>2012</v>
      </c>
      <c r="B89" s="13" t="s">
        <v>9</v>
      </c>
      <c r="C89" s="116">
        <f>(Indeks!C89/Indeks!$C$40*Indeks!$C$2)/Indeks!H89*100</f>
        <v>0.6238425893163942</v>
      </c>
      <c r="D89" s="116">
        <f>(Indeks!D89/Indeks!$D$40*Indeks!$D$2)/Indeks!H89*100</f>
        <v>0.1879487130471376</v>
      </c>
      <c r="E89" s="116">
        <f>(Indeks!E89/Indeks!$E$40*Indeks!$E$2)/Indeks!H89*100</f>
        <v>0.08149817265577425</v>
      </c>
      <c r="F89" s="116">
        <f>(Indeks!F89/Indeks!$F$40*Indeks!$F$2)/Indeks!H89*100</f>
        <v>0.08481439954649105</v>
      </c>
      <c r="G89" s="116">
        <f>(Indeks!G89/Indeks!$G$40*Indeks!$G$2)/Indeks!H89*100</f>
        <v>0.021896125434202843</v>
      </c>
      <c r="H89" s="116">
        <f t="shared" si="9"/>
        <v>1</v>
      </c>
    </row>
    <row r="90" spans="1:8" ht="15" customHeight="1" hidden="1">
      <c r="A90" s="16">
        <f aca="true" t="shared" si="10" ref="A90:A99">A89</f>
        <v>2012</v>
      </c>
      <c r="B90" s="17" t="s">
        <v>10</v>
      </c>
      <c r="C90" s="117">
        <f>(Indeks!C90/Indeks!$C$40*Indeks!$C$2)/Indeks!H90*100</f>
        <v>0.6188431109623115</v>
      </c>
      <c r="D90" s="117">
        <f>(Indeks!D90/Indeks!$D$40*Indeks!$D$2)/Indeks!H90*100</f>
        <v>0.19226881874359908</v>
      </c>
      <c r="E90" s="117">
        <f>(Indeks!E90/Indeks!$E$40*Indeks!$E$2)/Indeks!H90*100</f>
        <v>0.08110088455055124</v>
      </c>
      <c r="F90" s="117">
        <f>(Indeks!F90/Indeks!$F$40*Indeks!$F$2)/Indeks!H90*100</f>
        <v>0.0849050039212636</v>
      </c>
      <c r="G90" s="117">
        <f>(Indeks!G90/Indeks!$G$40*Indeks!$G$2)/Indeks!H90*100</f>
        <v>0.022882181822274566</v>
      </c>
      <c r="H90" s="117">
        <f t="shared" si="9"/>
        <v>0.9999999999999999</v>
      </c>
    </row>
    <row r="91" spans="1:8" ht="12.75" hidden="1">
      <c r="A91" s="21">
        <f t="shared" si="10"/>
        <v>2012</v>
      </c>
      <c r="B91" s="22" t="s">
        <v>11</v>
      </c>
      <c r="C91" s="118">
        <f>(Indeks!C91/Indeks!$C$40*Indeks!$C$2)/Indeks!H91*100</f>
        <v>0.6174229404934869</v>
      </c>
      <c r="D91" s="118">
        <f>(Indeks!D91/Indeks!$D$40*Indeks!$D$2)/Indeks!H91*100</f>
        <v>0.19340368473055353</v>
      </c>
      <c r="E91" s="118">
        <f>(Indeks!E91/Indeks!$E$40*Indeks!$E$2)/Indeks!H91*100</f>
        <v>0.08139893058344672</v>
      </c>
      <c r="F91" s="118">
        <f>(Indeks!F91/Indeks!$F$40*Indeks!$F$2)/Indeks!H91*100</f>
        <v>0.0847489722926225</v>
      </c>
      <c r="G91" s="118">
        <f>(Indeks!G91/Indeks!$G$40*Indeks!$G$2)/Indeks!H91*100</f>
        <v>0.023025471899890515</v>
      </c>
      <c r="H91" s="118">
        <f t="shared" si="9"/>
        <v>1</v>
      </c>
    </row>
    <row r="92" spans="1:8" ht="12.75" hidden="1">
      <c r="A92" s="12">
        <f t="shared" si="10"/>
        <v>2012</v>
      </c>
      <c r="B92" s="13" t="s">
        <v>12</v>
      </c>
      <c r="C92" s="116">
        <f>(Indeks!C92/Indeks!$C$40*Indeks!$C$2)/Indeks!H92*100</f>
        <v>0.6158473834387969</v>
      </c>
      <c r="D92" s="116">
        <f>(Indeks!D92/Indeks!$D$40*Indeks!$D$2)/Indeks!H92*100</f>
        <v>0.19627928686749202</v>
      </c>
      <c r="E92" s="116">
        <f>(Indeks!E92/Indeks!$E$40*Indeks!$E$2)/Indeks!H92*100</f>
        <v>0.08157061272415254</v>
      </c>
      <c r="F92" s="116">
        <f>(Indeks!F92/Indeks!$F$40*Indeks!$F$2)/Indeks!H92*100</f>
        <v>0.08402500355590145</v>
      </c>
      <c r="G92" s="116">
        <f>(Indeks!G92/Indeks!$G$40*Indeks!$G$2)/Indeks!H92*100</f>
        <v>0.022277713413657134</v>
      </c>
      <c r="H92" s="116">
        <f t="shared" si="9"/>
        <v>1</v>
      </c>
    </row>
    <row r="93" spans="1:8" ht="12.75" hidden="1">
      <c r="A93" s="16">
        <f t="shared" si="10"/>
        <v>2012</v>
      </c>
      <c r="B93" s="17" t="s">
        <v>13</v>
      </c>
      <c r="C93" s="117">
        <f>(Indeks!C93/Indeks!$C$40*Indeks!$C$2)/Indeks!H93*100</f>
        <v>0.6181209016275582</v>
      </c>
      <c r="D93" s="117">
        <f>(Indeks!D93/Indeks!$D$40*Indeks!$D$2)/Indeks!H93*100</f>
        <v>0.19438589744233437</v>
      </c>
      <c r="E93" s="117">
        <f>(Indeks!E93/Indeks!$E$40*Indeks!$E$2)/Indeks!H93*100</f>
        <v>0.08187174621385128</v>
      </c>
      <c r="F93" s="117">
        <f>(Indeks!F93/Indeks!$F$40*Indeks!$F$2)/Indeks!H93*100</f>
        <v>0.08475984642712281</v>
      </c>
      <c r="G93" s="117">
        <f>(Indeks!G93/Indeks!$G$40*Indeks!$G$2)/Indeks!H93*100</f>
        <v>0.02086160828913349</v>
      </c>
      <c r="H93" s="117">
        <f t="shared" si="9"/>
        <v>1.0000000000000002</v>
      </c>
    </row>
    <row r="94" spans="1:8" ht="12.75" hidden="1">
      <c r="A94" s="21">
        <f t="shared" si="10"/>
        <v>2012</v>
      </c>
      <c r="B94" s="26" t="s">
        <v>31</v>
      </c>
      <c r="C94" s="118">
        <f>(Indeks!C94/Indeks!$C$40*Indeks!$C$2)/Indeks!H94*100</f>
        <v>0.6241845815148404</v>
      </c>
      <c r="D94" s="118">
        <f>(Indeks!D94/Indeks!$D$40*Indeks!$D$2)/Indeks!H94*100</f>
        <v>0.19055558132770262</v>
      </c>
      <c r="E94" s="118">
        <f>(Indeks!E94/Indeks!$E$40*Indeks!$E$2)/Indeks!H94*100</f>
        <v>0.08233772331823483</v>
      </c>
      <c r="F94" s="118">
        <f>(Indeks!F94/Indeks!$F$40*Indeks!$F$2)/Indeks!H94*100</f>
        <v>0.08507143512217473</v>
      </c>
      <c r="G94" s="118">
        <f>(Indeks!G94/Indeks!$G$40*Indeks!$G$2)/Indeks!H94*100</f>
        <v>0.017850678717047472</v>
      </c>
      <c r="H94" s="118">
        <f t="shared" si="9"/>
        <v>1</v>
      </c>
    </row>
    <row r="95" spans="1:8" ht="12.75" hidden="1">
      <c r="A95" s="12">
        <f t="shared" si="10"/>
        <v>2012</v>
      </c>
      <c r="B95" s="13" t="s">
        <v>14</v>
      </c>
      <c r="C95" s="116">
        <f>(Indeks!C95/Indeks!$C$40*Indeks!$C$2)/Indeks!H95*100</f>
        <v>0.6265005943847265</v>
      </c>
      <c r="D95" s="116">
        <f>(Indeks!D95/Indeks!$D$40*Indeks!$D$2)/Indeks!H95*100</f>
        <v>0.18531664196696432</v>
      </c>
      <c r="E95" s="116">
        <f>(Indeks!E95/Indeks!$E$40*Indeks!$E$2)/Indeks!H95*100</f>
        <v>0.08251510522670989</v>
      </c>
      <c r="F95" s="116">
        <f>(Indeks!F95/Indeks!$F$40*Indeks!$F$2)/Indeks!H95*100</f>
        <v>0.08658730954073068</v>
      </c>
      <c r="G95" s="116">
        <f>(Indeks!G95/Indeks!$G$40*Indeks!$G$2)/Indeks!H95*100</f>
        <v>0.01908034888086862</v>
      </c>
      <c r="H95" s="116">
        <f>SUM(C95:G95)</f>
        <v>1</v>
      </c>
    </row>
    <row r="96" spans="1:8" ht="12.75" hidden="1">
      <c r="A96" s="63">
        <f t="shared" si="10"/>
        <v>2012</v>
      </c>
      <c r="B96" s="64" t="s">
        <v>15</v>
      </c>
      <c r="C96" s="91">
        <f>(Indeks!C96/Indeks!$C$40*Indeks!$C$2)/Indeks!H96*100</f>
        <v>0.6230261445603491</v>
      </c>
      <c r="D96" s="91">
        <f>(Indeks!D96/Indeks!$D$40*Indeks!$D$2)/Indeks!H96*100</f>
        <v>0.1920634294823975</v>
      </c>
      <c r="E96" s="91">
        <f>(Indeks!E96/Indeks!$E$40*Indeks!$E$2)/Indeks!H96*100</f>
        <v>0.08205749258366846</v>
      </c>
      <c r="F96" s="91">
        <f>(Indeks!F96/Indeks!$F$40*Indeks!$F$2)/Indeks!H96*100</f>
        <v>0.0861923678161954</v>
      </c>
      <c r="G96" s="91">
        <f>(Indeks!G96/Indeks!$G$40*Indeks!$G$2)/Indeks!H96*100</f>
        <v>0.016660565557389616</v>
      </c>
      <c r="H96" s="91">
        <f>SUM(C96:G96)</f>
        <v>1.0000000000000002</v>
      </c>
    </row>
    <row r="97" spans="1:8" ht="12.75" hidden="1">
      <c r="A97" s="32">
        <f t="shared" si="10"/>
        <v>2012</v>
      </c>
      <c r="B97" s="67" t="s">
        <v>16</v>
      </c>
      <c r="C97" s="92">
        <f>(Indeks!C97/Indeks!$C$40*Indeks!$C$2)/Indeks!H97*100</f>
        <v>0.6194186126355459</v>
      </c>
      <c r="D97" s="92">
        <f>(Indeks!D97/Indeks!$D$40*Indeks!$D$2)/Indeks!H97*100</f>
        <v>0.1959660775392837</v>
      </c>
      <c r="E97" s="92">
        <f>(Indeks!E97/Indeks!$E$40*Indeks!$E$2)/Indeks!H97*100</f>
        <v>0.08170243039161142</v>
      </c>
      <c r="F97" s="92">
        <f>(Indeks!F97/Indeks!$F$40*Indeks!$F$2)/Indeks!H97*100</f>
        <v>0.08614607934187558</v>
      </c>
      <c r="G97" s="92">
        <f>(Indeks!G97/Indeks!$G$40*Indeks!$G$2)/Indeks!H97*100</f>
        <v>0.016766800091683496</v>
      </c>
      <c r="H97" s="92">
        <f>SUM(C97:G97)</f>
        <v>1</v>
      </c>
    </row>
    <row r="98" spans="1:8" ht="12.75" hidden="1">
      <c r="A98" s="32">
        <f t="shared" si="10"/>
        <v>2012</v>
      </c>
      <c r="B98" s="67" t="s">
        <v>17</v>
      </c>
      <c r="C98" s="92">
        <f>(Indeks!C98/Indeks!$C$40*Indeks!$C$2)/Indeks!H98*100</f>
        <v>0.6188076473746312</v>
      </c>
      <c r="D98" s="92">
        <f>(Indeks!D98/Indeks!$D$40*Indeks!$D$2)/Indeks!H98*100</f>
        <v>0.1959899492356221</v>
      </c>
      <c r="E98" s="92">
        <f>(Indeks!E98/Indeks!$E$40*Indeks!$E$2)/Indeks!H98*100</f>
        <v>0.08181136737672304</v>
      </c>
      <c r="F98" s="92">
        <f>(Indeks!F98/Indeks!$F$40*Indeks!$F$2)/Indeks!H98*100</f>
        <v>0.08572295131947824</v>
      </c>
      <c r="G98" s="92">
        <f>(Indeks!G98/Indeks!$G$40*Indeks!$G$2)/Indeks!H98*100</f>
        <v>0.01766808469354524</v>
      </c>
      <c r="H98" s="92">
        <f>SUM(C98:G98)</f>
        <v>0.9999999999999998</v>
      </c>
    </row>
    <row r="99" spans="1:8" ht="12.75" hidden="1">
      <c r="A99" s="32">
        <f t="shared" si="10"/>
        <v>2012</v>
      </c>
      <c r="B99" s="33" t="s">
        <v>18</v>
      </c>
      <c r="C99" s="116">
        <f>(Indeks!C99/Indeks!$C$40*Indeks!$C$2)/Indeks!H99*100</f>
        <v>0.6183949106393806</v>
      </c>
      <c r="D99" s="116">
        <f>(Indeks!D99/Indeks!$D$40*Indeks!$D$2)/Indeks!H99*100</f>
        <v>0.19585922646234571</v>
      </c>
      <c r="E99" s="116">
        <f>(Indeks!E99/Indeks!$E$40*Indeks!$E$2)/Indeks!H99*100</f>
        <v>0.08169366758350854</v>
      </c>
      <c r="F99" s="116">
        <f>(Indeks!F99/Indeks!$F$40*Indeks!$F$2)/Indeks!H99*100</f>
        <v>0.0849054280971218</v>
      </c>
      <c r="G99" s="116">
        <f>(Indeks!G99/Indeks!$G$40*Indeks!$G$2)/Indeks!H99*100</f>
        <v>0.01914676721764341</v>
      </c>
      <c r="H99" s="116">
        <f>SUM(C99:G99)</f>
        <v>0.9999999999999999</v>
      </c>
    </row>
    <row r="100" spans="1:8" ht="12.75" hidden="1">
      <c r="A100" s="56">
        <v>2013</v>
      </c>
      <c r="B100" s="57" t="s">
        <v>8</v>
      </c>
      <c r="C100" s="147">
        <f>(Indeks!C100/Indeks!$C$40*Indeks!$C$2)/Indeks!H100*100</f>
        <v>0.6267397494477632</v>
      </c>
      <c r="D100" s="147">
        <f>(Indeks!D100/Indeks!$D$40*Indeks!$D$2)/Indeks!H100*100</f>
        <v>0.1899563927971917</v>
      </c>
      <c r="E100" s="147">
        <f>(Indeks!E100/Indeks!$E$40*Indeks!$E$2)/Indeks!H100*100</f>
        <v>0.0817052415237445</v>
      </c>
      <c r="F100" s="147">
        <f>(Indeks!F100/Indeks!$F$40*Indeks!$F$2)/Indeks!H100*100</f>
        <v>0.08472945082674065</v>
      </c>
      <c r="G100" s="147">
        <f>(Indeks!G100/Indeks!$G$40*Indeks!$G$2)/Indeks!H100*100</f>
        <v>0.016869165404559825</v>
      </c>
      <c r="H100" s="147">
        <f aca="true" t="shared" si="11" ref="H100:H106">SUM(C100:G100)</f>
        <v>0.9999999999999999</v>
      </c>
    </row>
    <row r="101" spans="1:8" ht="12.75" hidden="1">
      <c r="A101" s="12">
        <f>A100</f>
        <v>2013</v>
      </c>
      <c r="B101" s="13" t="s">
        <v>9</v>
      </c>
      <c r="C101" s="116">
        <f>(Indeks!C101/Indeks!$C$40*Indeks!$C$2)/Indeks!H101*100</f>
        <v>0.6298594470532067</v>
      </c>
      <c r="D101" s="116">
        <f>(Indeks!D101/Indeks!$D$40*Indeks!$D$2)/Indeks!H101*100</f>
        <v>0.1860993668963151</v>
      </c>
      <c r="E101" s="116">
        <f>(Indeks!E101/Indeks!$E$40*Indeks!$E$2)/Indeks!H101*100</f>
        <v>0.08185792253520882</v>
      </c>
      <c r="F101" s="116">
        <f>(Indeks!F101/Indeks!$F$40*Indeks!$F$2)/Indeks!H101*100</f>
        <v>0.08557611146910221</v>
      </c>
      <c r="G101" s="116">
        <f>(Indeks!G101/Indeks!$G$40*Indeks!$G$2)/Indeks!H101*100</f>
        <v>0.016607152046167042</v>
      </c>
      <c r="H101" s="116">
        <f t="shared" si="11"/>
        <v>1</v>
      </c>
    </row>
    <row r="102" spans="1:8" ht="12.75" hidden="1">
      <c r="A102" s="16">
        <f aca="true" t="shared" si="12" ref="A102:A111">A101</f>
        <v>2013</v>
      </c>
      <c r="B102" s="17" t="s">
        <v>10</v>
      </c>
      <c r="C102" s="117">
        <f>(Indeks!C102/Indeks!$C$40*Indeks!$C$2)/Indeks!H102*100</f>
        <v>0.6284763080678539</v>
      </c>
      <c r="D102" s="117">
        <f>(Indeks!D102/Indeks!$D$40*Indeks!$D$2)/Indeks!H102*100</f>
        <v>0.18634415926457176</v>
      </c>
      <c r="E102" s="117">
        <f>(Indeks!E102/Indeks!$E$40*Indeks!$E$2)/Indeks!H102*100</f>
        <v>0.08136133909848281</v>
      </c>
      <c r="F102" s="117">
        <f>(Indeks!F102/Indeks!$F$40*Indeks!$F$2)/Indeks!H102*100</f>
        <v>0.08437065518505157</v>
      </c>
      <c r="G102" s="117">
        <f>(Indeks!G102/Indeks!$G$40*Indeks!$G$2)/Indeks!H102*100</f>
        <v>0.019447538384040085</v>
      </c>
      <c r="H102" s="117">
        <f t="shared" si="11"/>
        <v>1.0000000000000002</v>
      </c>
    </row>
    <row r="103" spans="1:8" ht="12.75" hidden="1">
      <c r="A103" s="21">
        <f t="shared" si="12"/>
        <v>2013</v>
      </c>
      <c r="B103" s="22" t="s">
        <v>11</v>
      </c>
      <c r="C103" s="118">
        <f>(Indeks!C103/Indeks!$C$40*Indeks!$C$2)/Indeks!H103*100</f>
        <v>0.6276778018634165</v>
      </c>
      <c r="D103" s="118">
        <f>(Indeks!D103/Indeks!$D$40*Indeks!$D$2)/Indeks!H103*100</f>
        <v>0.1888849777138025</v>
      </c>
      <c r="E103" s="118">
        <f>(Indeks!E103/Indeks!$E$40*Indeks!$E$2)/Indeks!H103*100</f>
        <v>0.08180849964685953</v>
      </c>
      <c r="F103" s="118">
        <f>(Indeks!F103/Indeks!$F$40*Indeks!$F$2)/Indeks!H103*100</f>
        <v>0.08401565868148633</v>
      </c>
      <c r="G103" s="118">
        <f>(Indeks!G103/Indeks!$G$40*Indeks!$G$2)/Indeks!H103*100</f>
        <v>0.01761306209443513</v>
      </c>
      <c r="H103" s="118">
        <f t="shared" si="11"/>
        <v>1</v>
      </c>
    </row>
    <row r="104" spans="1:8" ht="12.75" hidden="1">
      <c r="A104" s="12">
        <f t="shared" si="12"/>
        <v>2013</v>
      </c>
      <c r="B104" s="13" t="s">
        <v>12</v>
      </c>
      <c r="C104" s="116">
        <f>(Indeks!C104/Indeks!$C$40*Indeks!$C$2)/Indeks!H104*100</f>
        <v>0.6305893035087934</v>
      </c>
      <c r="D104" s="116">
        <f>(Indeks!D104/Indeks!$D$40*Indeks!$D$2)/Indeks!H104*100</f>
        <v>0.18606377469315097</v>
      </c>
      <c r="E104" s="116">
        <f>(Indeks!E104/Indeks!$E$40*Indeks!$E$2)/Indeks!H104*100</f>
        <v>0.08235789731201343</v>
      </c>
      <c r="F104" s="116">
        <f>(Indeks!F104/Indeks!$F$40*Indeks!$F$2)/Indeks!H104*100</f>
        <v>0.08432837309042901</v>
      </c>
      <c r="G104" s="116">
        <f>(Indeks!G104/Indeks!$G$40*Indeks!$G$2)/Indeks!H104*100</f>
        <v>0.016660651395613135</v>
      </c>
      <c r="H104" s="116">
        <f t="shared" si="11"/>
        <v>0.9999999999999998</v>
      </c>
    </row>
    <row r="105" spans="1:8" ht="12.75" hidden="1">
      <c r="A105" s="16">
        <f t="shared" si="12"/>
        <v>2013</v>
      </c>
      <c r="B105" s="17" t="s">
        <v>13</v>
      </c>
      <c r="C105" s="117">
        <f>(Indeks!C105/Indeks!$C$40*Indeks!$C$2)/Indeks!H105*100</f>
        <v>0.6356807393312829</v>
      </c>
      <c r="D105" s="117">
        <f>(Indeks!D105/Indeks!$D$40*Indeks!$D$2)/Indeks!H105*100</f>
        <v>0.18022128589475675</v>
      </c>
      <c r="E105" s="117">
        <f>(Indeks!E105/Indeks!$E$40*Indeks!$E$2)/Indeks!H105*100</f>
        <v>0.08291534498144085</v>
      </c>
      <c r="F105" s="117">
        <f>(Indeks!F105/Indeks!$F$40*Indeks!$F$2)/Indeks!H105*100</f>
        <v>0.08577740395879425</v>
      </c>
      <c r="G105" s="117">
        <f>(Indeks!G105/Indeks!$G$40*Indeks!$G$2)/Indeks!H105*100</f>
        <v>0.01540522583372525</v>
      </c>
      <c r="H105" s="117">
        <f t="shared" si="11"/>
        <v>1</v>
      </c>
    </row>
    <row r="106" spans="1:8" ht="12.75" hidden="1">
      <c r="A106" s="21">
        <f t="shared" si="12"/>
        <v>2013</v>
      </c>
      <c r="B106" s="26" t="s">
        <v>31</v>
      </c>
      <c r="C106" s="118">
        <f>(Indeks!C106/Indeks!$C$40*Indeks!$C$2)/Indeks!H106*100</f>
        <v>0.6353333466544399</v>
      </c>
      <c r="D106" s="118">
        <f>(Indeks!D106/Indeks!$D$40*Indeks!$D$2)/Indeks!H106*100</f>
        <v>0.18096196160667405</v>
      </c>
      <c r="E106" s="118">
        <f>(Indeks!E106/Indeks!$E$40*Indeks!$E$2)/Indeks!H106*100</f>
        <v>0.08266646607350693</v>
      </c>
      <c r="F106" s="118">
        <f>(Indeks!F106/Indeks!$F$40*Indeks!$F$2)/Indeks!H106*100</f>
        <v>0.08511408406716954</v>
      </c>
      <c r="G106" s="118">
        <f>(Indeks!G106/Indeks!$G$40*Indeks!$G$2)/Indeks!H106*100</f>
        <v>0.015924141598209735</v>
      </c>
      <c r="H106" s="118">
        <f t="shared" si="11"/>
        <v>1.0000000000000002</v>
      </c>
    </row>
    <row r="107" spans="1:8" ht="12.75" hidden="1">
      <c r="A107" s="12">
        <f t="shared" si="12"/>
        <v>2013</v>
      </c>
      <c r="B107" s="13" t="s">
        <v>14</v>
      </c>
      <c r="C107" s="116">
        <f>(Indeks!C107/Indeks!$C$40*Indeks!$C$2)/Indeks!H107*100</f>
        <v>0.6342793596336017</v>
      </c>
      <c r="D107" s="116">
        <f>(Indeks!D107/Indeks!$D$40*Indeks!$D$2)/Indeks!H107*100</f>
        <v>0.18022563684893186</v>
      </c>
      <c r="E107" s="116">
        <f>(Indeks!E107/Indeks!$E$40*Indeks!$E$2)/Indeks!H107*100</f>
        <v>0.08246589113914718</v>
      </c>
      <c r="F107" s="116">
        <f>(Indeks!F107/Indeks!$F$40*Indeks!$F$2)/Indeks!H107*100</f>
        <v>0.08505777195082564</v>
      </c>
      <c r="G107" s="116">
        <f>(Indeks!G107/Indeks!$G$40*Indeks!$G$2)/Indeks!H107*100</f>
        <v>0.017971340427493394</v>
      </c>
      <c r="H107" s="116">
        <f>SUM(C107:G107)</f>
        <v>0.9999999999999998</v>
      </c>
    </row>
    <row r="108" spans="1:8" ht="12.75" hidden="1">
      <c r="A108" s="63">
        <f t="shared" si="12"/>
        <v>2013</v>
      </c>
      <c r="B108" s="64" t="s">
        <v>15</v>
      </c>
      <c r="C108" s="91">
        <f>(Indeks!C108/Indeks!$C$40*Indeks!$C$2)/Indeks!H108*100</f>
        <v>0.6318641611891903</v>
      </c>
      <c r="D108" s="91">
        <f>(Indeks!D108/Indeks!$D$40*Indeks!$D$2)/Indeks!H108*100</f>
        <v>0.18399256143363604</v>
      </c>
      <c r="E108" s="91">
        <f>(Indeks!E108/Indeks!$E$40*Indeks!$E$2)/Indeks!H108*100</f>
        <v>0.08189910387223089</v>
      </c>
      <c r="F108" s="91">
        <f>(Indeks!F108/Indeks!$F$40*Indeks!$F$2)/Indeks!H108*100</f>
        <v>0.0842265018098976</v>
      </c>
      <c r="G108" s="91">
        <f>(Indeks!G108/Indeks!$G$40*Indeks!$G$2)/Indeks!H108*100</f>
        <v>0.018017671695044972</v>
      </c>
      <c r="H108" s="91">
        <f>SUM(C108:G108)</f>
        <v>0.9999999999999999</v>
      </c>
    </row>
    <row r="109" spans="1:8" ht="12.75" hidden="1">
      <c r="A109" s="32">
        <f t="shared" si="12"/>
        <v>2013</v>
      </c>
      <c r="B109" s="67" t="s">
        <v>16</v>
      </c>
      <c r="C109" s="92">
        <f>(Indeks!C109/Indeks!$C$40*Indeks!$C$2)/Indeks!H109*100</f>
        <v>0.6319926158485444</v>
      </c>
      <c r="D109" s="92">
        <f>(Indeks!D109/Indeks!$D$40*Indeks!$D$2)/Indeks!H109*100</f>
        <v>0.18271916911286504</v>
      </c>
      <c r="E109" s="92">
        <f>(Indeks!E109/Indeks!$E$40*Indeks!$E$2)/Indeks!H109*100</f>
        <v>0.08178126167217029</v>
      </c>
      <c r="F109" s="92">
        <f>(Indeks!F109/Indeks!$F$40*Indeks!$F$2)/Indeks!H109*100</f>
        <v>0.08404046474811568</v>
      </c>
      <c r="G109" s="92">
        <f>(Indeks!G109/Indeks!$G$40*Indeks!$G$2)/Indeks!H109*100</f>
        <v>0.01946648861830474</v>
      </c>
      <c r="H109" s="92">
        <f>SUM(C109:G109)</f>
        <v>1</v>
      </c>
    </row>
    <row r="110" spans="1:8" ht="12.75" hidden="1">
      <c r="A110" s="32">
        <f t="shared" si="12"/>
        <v>2013</v>
      </c>
      <c r="B110" s="67" t="s">
        <v>17</v>
      </c>
      <c r="C110" s="92">
        <f>(Indeks!C110/Indeks!$C$40*Indeks!$C$2)/Indeks!H110*100</f>
        <v>0.6291564634160547</v>
      </c>
      <c r="D110" s="92">
        <f>(Indeks!D110/Indeks!$D$40*Indeks!$D$2)/Indeks!H110*100</f>
        <v>0.1871857048026204</v>
      </c>
      <c r="E110" s="92">
        <f>(Indeks!E110/Indeks!$E$40*Indeks!$E$2)/Indeks!H110*100</f>
        <v>0.08166534202088228</v>
      </c>
      <c r="F110" s="92">
        <f>(Indeks!F110/Indeks!$F$40*Indeks!$F$2)/Indeks!H110*100</f>
        <v>0.083411323826689</v>
      </c>
      <c r="G110" s="92">
        <f>(Indeks!G110/Indeks!$G$40*Indeks!$G$2)/Indeks!H110*100</f>
        <v>0.018581165933753675</v>
      </c>
      <c r="H110" s="92">
        <f>SUM(C110:G110)</f>
        <v>1</v>
      </c>
    </row>
    <row r="111" spans="1:8" ht="12.75" hidden="1">
      <c r="A111" s="32">
        <f t="shared" si="12"/>
        <v>2013</v>
      </c>
      <c r="B111" s="33" t="s">
        <v>18</v>
      </c>
      <c r="C111" s="116">
        <f>(Indeks!C111/Indeks!$C$40*Indeks!$C$2)/Indeks!H111*100</f>
        <v>0.6316435985614489</v>
      </c>
      <c r="D111" s="116">
        <f>(Indeks!D111/Indeks!$D$40*Indeks!$D$2)/Indeks!H111*100</f>
        <v>0.18315983518168116</v>
      </c>
      <c r="E111" s="116">
        <f>(Indeks!E111/Indeks!$E$40*Indeks!$E$2)/Indeks!H111*100</f>
        <v>0.08211421415768377</v>
      </c>
      <c r="F111" s="116">
        <f>(Indeks!F111/Indeks!$F$40*Indeks!$F$2)/Indeks!H111*100</f>
        <v>0.0837410593488941</v>
      </c>
      <c r="G111" s="116">
        <f>(Indeks!G111/Indeks!$G$40*Indeks!$G$2)/Indeks!H111*100</f>
        <v>0.01934129275029212</v>
      </c>
      <c r="H111" s="116">
        <f>SUM(C111:G111)</f>
        <v>1</v>
      </c>
    </row>
    <row r="112" spans="1:8" ht="12.75" hidden="1">
      <c r="A112" s="56">
        <v>2014</v>
      </c>
      <c r="B112" s="57" t="s">
        <v>8</v>
      </c>
      <c r="C112" s="147">
        <f>(Indeks!C112/Indeks!$C$40*Indeks!$C$2)/Indeks!H112*100</f>
        <v>0.6353549501529231</v>
      </c>
      <c r="D112" s="147">
        <f>(Indeks!D112/Indeks!$D$40*Indeks!$D$2)/Indeks!H112*100</f>
        <v>0.1816560073218493</v>
      </c>
      <c r="E112" s="147">
        <f>(Indeks!E112/Indeks!$E$40*Indeks!$E$2)/Indeks!H112*100</f>
        <v>0.08227425045823551</v>
      </c>
      <c r="F112" s="147">
        <f>(Indeks!F112/Indeks!$F$40*Indeks!$F$2)/Indeks!H112*100</f>
        <v>0.08358974715575582</v>
      </c>
      <c r="G112" s="147">
        <f>(Indeks!G112/Indeks!$G$40*Indeks!$G$2)/Indeks!H112*100</f>
        <v>0.017125044911236138</v>
      </c>
      <c r="H112" s="147">
        <f aca="true" t="shared" si="13" ref="H112:H118">SUM(C112:G112)</f>
        <v>0.9999999999999999</v>
      </c>
    </row>
    <row r="113" spans="1:8" ht="12.75" hidden="1">
      <c r="A113" s="12">
        <f>A112</f>
        <v>2014</v>
      </c>
      <c r="B113" s="13" t="s">
        <v>9</v>
      </c>
      <c r="C113" s="116">
        <f>(Indeks!C113/Indeks!$C$40*Indeks!$C$2)/Indeks!H113*100</f>
        <v>0.6339728373021664</v>
      </c>
      <c r="D113" s="116">
        <f>(Indeks!D113/Indeks!$D$40*Indeks!$D$2)/Indeks!H113*100</f>
        <v>0.18212915921559011</v>
      </c>
      <c r="E113" s="116">
        <f>(Indeks!E113/Indeks!$E$40*Indeks!$E$2)/Indeks!H113*100</f>
        <v>0.08203212580207661</v>
      </c>
      <c r="F113" s="116">
        <f>(Indeks!F113/Indeks!$F$40*Indeks!$F$2)/Indeks!H113*100</f>
        <v>0.08374593704172079</v>
      </c>
      <c r="G113" s="116">
        <f>(Indeks!G113/Indeks!$G$40*Indeks!$G$2)/Indeks!H113*100</f>
        <v>0.018119940638445832</v>
      </c>
      <c r="H113" s="116">
        <f t="shared" si="13"/>
        <v>0.9999999999999998</v>
      </c>
    </row>
    <row r="114" spans="1:8" ht="12.75" hidden="1">
      <c r="A114" s="16">
        <f aca="true" t="shared" si="14" ref="A114:A123">A113</f>
        <v>2014</v>
      </c>
      <c r="B114" s="17" t="s">
        <v>10</v>
      </c>
      <c r="C114" s="117">
        <f>(Indeks!C114/Indeks!$C$40*Indeks!$C$2)/Indeks!H114*100</f>
        <v>0.6354944811648864</v>
      </c>
      <c r="D114" s="117">
        <f>(Indeks!D114/Indeks!$D$40*Indeks!$D$2)/Indeks!H114*100</f>
        <v>0.18115190129740832</v>
      </c>
      <c r="E114" s="117">
        <f>(Indeks!E114/Indeks!$E$40*Indeks!$E$2)/Indeks!H114*100</f>
        <v>0.08210241344742163</v>
      </c>
      <c r="F114" s="117">
        <f>(Indeks!F114/Indeks!$F$40*Indeks!$F$2)/Indeks!H114*100</f>
        <v>0.08377752304497171</v>
      </c>
      <c r="G114" s="117">
        <f>(Indeks!G114/Indeks!$G$40*Indeks!$G$2)/Indeks!H114*100</f>
        <v>0.0174736810453118</v>
      </c>
      <c r="H114" s="117">
        <f t="shared" si="13"/>
        <v>0.9999999999999998</v>
      </c>
    </row>
    <row r="115" spans="1:8" ht="12.75" hidden="1">
      <c r="A115" s="32">
        <f t="shared" si="14"/>
        <v>2014</v>
      </c>
      <c r="B115" s="33" t="s">
        <v>11</v>
      </c>
      <c r="C115" s="116">
        <f>(Indeks!C115/Indeks!$C$40*Indeks!$C$2)/Indeks!H115*100</f>
        <v>0.6358383101722832</v>
      </c>
      <c r="D115" s="116">
        <f>(Indeks!D115/Indeks!$D$40*Indeks!$D$2)/Indeks!H115*100</f>
        <v>0.18139288166696488</v>
      </c>
      <c r="E115" s="116">
        <f>(Indeks!E115/Indeks!$E$40*Indeks!$E$2)/Indeks!H115*100</f>
        <v>0.08238625561729929</v>
      </c>
      <c r="F115" s="116">
        <f>(Indeks!F115/Indeks!$F$40*Indeks!$F$2)/Indeks!H115*100</f>
        <v>0.08365665961008112</v>
      </c>
      <c r="G115" s="116">
        <f>(Indeks!G115/Indeks!$G$40*Indeks!$G$2)/Indeks!H115*100</f>
        <v>0.016725892933371355</v>
      </c>
      <c r="H115" s="116">
        <f t="shared" si="13"/>
        <v>0.9999999999999998</v>
      </c>
    </row>
    <row r="116" spans="1:8" ht="12.75" hidden="1">
      <c r="A116" s="12">
        <f t="shared" si="14"/>
        <v>2014</v>
      </c>
      <c r="B116" s="13" t="s">
        <v>12</v>
      </c>
      <c r="C116" s="116">
        <f>(Indeks!C116/Indeks!$C$40*Indeks!$C$2)/Indeks!H116*100</f>
        <v>0.6367996627636577</v>
      </c>
      <c r="D116" s="116">
        <f>(Indeks!D116/Indeks!$D$40*Indeks!$D$2)/Indeks!H116*100</f>
        <v>0.18068984889196468</v>
      </c>
      <c r="E116" s="116">
        <f>(Indeks!E116/Indeks!$E$40*Indeks!$E$2)/Indeks!H116*100</f>
        <v>0.08257399737825101</v>
      </c>
      <c r="F116" s="116">
        <f>(Indeks!F116/Indeks!$F$40*Indeks!$F$2)/Indeks!H116*100</f>
        <v>0.08352951176249294</v>
      </c>
      <c r="G116" s="116">
        <f>(Indeks!G116/Indeks!$G$40*Indeks!$G$2)/Indeks!H116*100</f>
        <v>0.016406979203633584</v>
      </c>
      <c r="H116" s="116">
        <f t="shared" si="13"/>
        <v>0.9999999999999999</v>
      </c>
    </row>
    <row r="117" spans="1:8" ht="12.75" hidden="1">
      <c r="A117" s="16">
        <f t="shared" si="14"/>
        <v>2014</v>
      </c>
      <c r="B117" s="17" t="s">
        <v>13</v>
      </c>
      <c r="C117" s="117">
        <f>(Indeks!C117/Indeks!$C$40*Indeks!$C$2)/Indeks!H117*100</f>
        <v>0.6376888642975505</v>
      </c>
      <c r="D117" s="117">
        <f>(Indeks!D117/Indeks!$D$40*Indeks!$D$2)/Indeks!H117*100</f>
        <v>0.1799635034639471</v>
      </c>
      <c r="E117" s="117">
        <f>(Indeks!E117/Indeks!$E$40*Indeks!$E$2)/Indeks!H117*100</f>
        <v>0.0828158333765209</v>
      </c>
      <c r="F117" s="117">
        <f>(Indeks!F117/Indeks!$F$40*Indeks!$F$2)/Indeks!H117*100</f>
        <v>0.0835614869317148</v>
      </c>
      <c r="G117" s="117">
        <f>(Indeks!G117/Indeks!$G$40*Indeks!$G$2)/Indeks!H117*100</f>
        <v>0.015970311930266937</v>
      </c>
      <c r="H117" s="117">
        <f t="shared" si="13"/>
        <v>1.0000000000000002</v>
      </c>
    </row>
    <row r="118" spans="1:8" ht="12.75" hidden="1">
      <c r="A118" s="12">
        <f t="shared" si="14"/>
        <v>2014</v>
      </c>
      <c r="B118" s="13" t="s">
        <v>31</v>
      </c>
      <c r="C118" s="116">
        <f>(Indeks!C118/Indeks!$C$40*Indeks!$C$2)/Indeks!H118*100</f>
        <v>0.639459435692088</v>
      </c>
      <c r="D118" s="116">
        <f>(Indeks!D118/Indeks!$D$40*Indeks!$D$2)/Indeks!H118*100</f>
        <v>0.17905242702047303</v>
      </c>
      <c r="E118" s="116">
        <f>(Indeks!E118/Indeks!$E$40*Indeks!$E$2)/Indeks!H118*100</f>
        <v>0.08278381072980139</v>
      </c>
      <c r="F118" s="116">
        <f>(Indeks!F118/Indeks!$F$40*Indeks!$F$2)/Indeks!H118*100</f>
        <v>0.08376242430507523</v>
      </c>
      <c r="G118" s="116">
        <f>(Indeks!G118/Indeks!$G$40*Indeks!$G$2)/Indeks!H118*100</f>
        <v>0.014941902252562457</v>
      </c>
      <c r="H118" s="116">
        <f t="shared" si="13"/>
        <v>0.9999999999999999</v>
      </c>
    </row>
    <row r="119" spans="1:8" ht="12.75" hidden="1">
      <c r="A119" s="12">
        <f t="shared" si="14"/>
        <v>2014</v>
      </c>
      <c r="B119" s="13" t="s">
        <v>14</v>
      </c>
      <c r="C119" s="116">
        <f>(Indeks!C119/Indeks!$C$40*Indeks!$C$2)/Indeks!H119*100</f>
        <v>0.6382000803949411</v>
      </c>
      <c r="D119" s="116">
        <f>(Indeks!D119/Indeks!$D$40*Indeks!$D$2)/Indeks!H119*100</f>
        <v>0.18076255597704977</v>
      </c>
      <c r="E119" s="116">
        <f>(Indeks!E119/Indeks!$E$40*Indeks!$E$2)/Indeks!H119*100</f>
        <v>0.08255761005934076</v>
      </c>
      <c r="F119" s="116">
        <f>(Indeks!F119/Indeks!$F$40*Indeks!$F$2)/Indeks!H119*100</f>
        <v>0.08368198933978044</v>
      </c>
      <c r="G119" s="116">
        <f>(Indeks!G119/Indeks!$G$40*Indeks!$G$2)/Indeks!H119*100</f>
        <v>0.014797764228887842</v>
      </c>
      <c r="H119" s="116">
        <f>SUM(C119:G119)</f>
        <v>0.9999999999999999</v>
      </c>
    </row>
    <row r="120" spans="1:8" ht="12.75" hidden="1">
      <c r="A120" s="16">
        <f t="shared" si="14"/>
        <v>2014</v>
      </c>
      <c r="B120" s="17" t="s">
        <v>15</v>
      </c>
      <c r="C120" s="117">
        <f>(Indeks!C120/Indeks!$C$40*Indeks!$C$2)/Indeks!H120*100</f>
        <v>0.6393317226294853</v>
      </c>
      <c r="D120" s="117">
        <f>(Indeks!D120/Indeks!$D$40*Indeks!$D$2)/Indeks!H120*100</f>
        <v>0.1793429424270588</v>
      </c>
      <c r="E120" s="117">
        <f>(Indeks!E120/Indeks!$E$40*Indeks!$E$2)/Indeks!H120*100</f>
        <v>0.0826407216485103</v>
      </c>
      <c r="F120" s="117">
        <f>(Indeks!F120/Indeks!$F$40*Indeks!$F$2)/Indeks!H120*100</f>
        <v>0.08374569524433749</v>
      </c>
      <c r="G120" s="117">
        <f>(Indeks!G120/Indeks!$G$40*Indeks!$G$2)/Indeks!H120*100</f>
        <v>0.01493891805060801</v>
      </c>
      <c r="H120" s="117">
        <f>SUM(C120:G120)</f>
        <v>1</v>
      </c>
    </row>
    <row r="121" spans="1:8" ht="12.75" hidden="1">
      <c r="A121" s="32">
        <f t="shared" si="14"/>
        <v>2014</v>
      </c>
      <c r="B121" s="33" t="s">
        <v>16</v>
      </c>
      <c r="C121" s="116">
        <f>(Indeks!C121/Indeks!$C$40*Indeks!$C$2)/Indeks!H121*100</f>
        <v>0.6406391218465128</v>
      </c>
      <c r="D121" s="116">
        <f>(Indeks!D121/Indeks!$D$40*Indeks!$D$2)/Indeks!H121*100</f>
        <v>0.17943018186484036</v>
      </c>
      <c r="E121" s="116">
        <f>(Indeks!E121/Indeks!$E$40*Indeks!$E$2)/Indeks!H121*100</f>
        <v>0.08235453587258493</v>
      </c>
      <c r="F121" s="116">
        <f>(Indeks!F121/Indeks!$F$40*Indeks!$F$2)/Indeks!H121*100</f>
        <v>0.08358368244575527</v>
      </c>
      <c r="G121" s="116">
        <f>(Indeks!G121/Indeks!$G$40*Indeks!$G$2)/Indeks!H121*100</f>
        <v>0.013992477970306581</v>
      </c>
      <c r="H121" s="116">
        <f>SUM(C121:G121)</f>
        <v>1</v>
      </c>
    </row>
    <row r="122" spans="1:8" ht="12.75" hidden="1">
      <c r="A122" s="32">
        <f t="shared" si="14"/>
        <v>2014</v>
      </c>
      <c r="B122" s="67" t="s">
        <v>17</v>
      </c>
      <c r="C122" s="116">
        <f>(Indeks!C122/Indeks!$C$40*Indeks!$C$2)/Indeks!H122*100</f>
        <v>0.6418519916197103</v>
      </c>
      <c r="D122" s="116">
        <f>(Indeks!D122/Indeks!$D$40*Indeks!$D$2)/Indeks!H122*100</f>
        <v>0.1779210693191531</v>
      </c>
      <c r="E122" s="116">
        <f>(Indeks!E122/Indeks!$E$40*Indeks!$E$2)/Indeks!H122*100</f>
        <v>0.08276355053814707</v>
      </c>
      <c r="F122" s="116">
        <f>(Indeks!F122/Indeks!$F$40*Indeks!$F$2)/Indeks!H122*100</f>
        <v>0.08390405805681626</v>
      </c>
      <c r="G122" s="116">
        <f>(Indeks!G122/Indeks!$G$40*Indeks!$G$2)/Indeks!H122*100</f>
        <v>0.013559330466173407</v>
      </c>
      <c r="H122" s="116">
        <f>SUM(C122:G122)</f>
        <v>1</v>
      </c>
    </row>
    <row r="123" spans="1:8" ht="13.5" hidden="1" thickBot="1">
      <c r="A123" s="72">
        <f t="shared" si="14"/>
        <v>2014</v>
      </c>
      <c r="B123" s="73" t="s">
        <v>18</v>
      </c>
      <c r="C123" s="93">
        <f>(Indeks!C123/Indeks!$C$40*Indeks!$C$2)/Indeks!H123*100</f>
        <v>0.6447362848800081</v>
      </c>
      <c r="D123" s="93">
        <f>(Indeks!D123/Indeks!$D$40*Indeks!$D$2)/Indeks!H123*100</f>
        <v>0.17358620045604584</v>
      </c>
      <c r="E123" s="93">
        <f>(Indeks!E123/Indeks!$E$40*Indeks!$E$2)/Indeks!H123*100</f>
        <v>0.08319902471197263</v>
      </c>
      <c r="F123" s="93">
        <f>(Indeks!F123/Indeks!$F$40*Indeks!$F$2)/Indeks!H123*100</f>
        <v>0.0842810981101691</v>
      </c>
      <c r="G123" s="93">
        <f>(Indeks!G123/Indeks!$G$40*Indeks!$G$2)/Indeks!H123*100</f>
        <v>0.01419739184180443</v>
      </c>
      <c r="H123" s="93">
        <f>SUM(C123:G123)</f>
        <v>1</v>
      </c>
    </row>
    <row r="124" spans="1:8" ht="12.75" hidden="1">
      <c r="A124" s="56">
        <v>2015</v>
      </c>
      <c r="B124" s="67" t="s">
        <v>8</v>
      </c>
      <c r="C124" s="116">
        <f>(Indeks!C124/Indeks!$C$40*Indeks!$C$2)/Indeks!H124*100</f>
        <v>0.6467304531355209</v>
      </c>
      <c r="D124" s="116">
        <f>(Indeks!D124/Indeks!$D$40*Indeks!$D$2)/Indeks!H124*100</f>
        <v>0.1727478368420674</v>
      </c>
      <c r="E124" s="116">
        <f>(Indeks!E124/Indeks!$E$40*Indeks!$E$2)/Indeks!H124*100</f>
        <v>0.08292054898413459</v>
      </c>
      <c r="F124" s="147">
        <f>(Indeks!F124/Indeks!$F$40*Indeks!$F$2)/Indeks!H124*100</f>
        <v>0.08411060898176599</v>
      </c>
      <c r="G124" s="116">
        <f>(Indeks!G124/Indeks!$G$40*Indeks!$G$2)/Indeks!H124*100</f>
        <v>0.013490552056511106</v>
      </c>
      <c r="H124" s="116">
        <f aca="true" t="shared" si="15" ref="H124:H135">SUM(C124:G124)</f>
        <v>1</v>
      </c>
    </row>
    <row r="125" spans="1:8" ht="12.75" hidden="1">
      <c r="A125" s="32">
        <f>A124</f>
        <v>2015</v>
      </c>
      <c r="B125" s="33" t="s">
        <v>9</v>
      </c>
      <c r="C125" s="116">
        <f>(Indeks!C125/Indeks!$C$40*Indeks!$C$2)/Indeks!H125*100</f>
        <v>0.6556860234235848</v>
      </c>
      <c r="D125" s="116">
        <f>(Indeks!D125/Indeks!$D$40*Indeks!$D$2)/Indeks!H125*100</f>
        <v>0.16197403254547038</v>
      </c>
      <c r="E125" s="116">
        <f>(Indeks!E125/Indeks!$E$40*Indeks!$E$2)/Indeks!H125*100</f>
        <v>0.08387567388246317</v>
      </c>
      <c r="F125" s="116">
        <f>(Indeks!F125/Indeks!$F$40*Indeks!$F$2)/Indeks!H125*100</f>
        <v>0.08560521199196934</v>
      </c>
      <c r="G125" s="116">
        <f>(Indeks!G125/Indeks!$G$40*Indeks!$G$2)/Indeks!H125*100</f>
        <v>0.01285905815651224</v>
      </c>
      <c r="H125" s="116">
        <f t="shared" si="15"/>
        <v>1</v>
      </c>
    </row>
    <row r="126" spans="1:8" ht="12.75" hidden="1">
      <c r="A126" s="16">
        <f aca="true" t="shared" si="16" ref="A126:A135">A125</f>
        <v>2015</v>
      </c>
      <c r="B126" s="17" t="s">
        <v>10</v>
      </c>
      <c r="C126" s="117">
        <f>(Indeks!C126/Indeks!$C$40*Indeks!$C$2)/Indeks!H126*100</f>
        <v>0.6623616428580826</v>
      </c>
      <c r="D126" s="117">
        <f>(Indeks!D126/Indeks!$D$40*Indeks!$D$2)/Indeks!H126*100</f>
        <v>0.15624665826297077</v>
      </c>
      <c r="E126" s="117">
        <f>(Indeks!E126/Indeks!$E$40*Indeks!$E$2)/Indeks!H126*100</f>
        <v>0.08427443635689846</v>
      </c>
      <c r="F126" s="117">
        <f>(Indeks!F126/Indeks!$F$40*Indeks!$F$2)/Indeks!H126*100</f>
        <v>0.08684337099159777</v>
      </c>
      <c r="G126" s="117">
        <f>(Indeks!G126/Indeks!$G$40*Indeks!$G$2)/Indeks!H126*100</f>
        <v>0.010273891530450423</v>
      </c>
      <c r="H126" s="117">
        <f t="shared" si="15"/>
        <v>1</v>
      </c>
    </row>
    <row r="127" spans="1:8" ht="12.75" hidden="1">
      <c r="A127" s="32">
        <f t="shared" si="16"/>
        <v>2015</v>
      </c>
      <c r="B127" s="33" t="s">
        <v>11</v>
      </c>
      <c r="C127" s="116">
        <f>(Indeks!C127/Indeks!$C$40*Indeks!$C$2)/Indeks!H127*100</f>
        <v>0.6568440860178106</v>
      </c>
      <c r="D127" s="116">
        <f>(Indeks!D127/Indeks!$D$40*Indeks!$D$2)/Indeks!H127*100</f>
        <v>0.16352744383496018</v>
      </c>
      <c r="E127" s="116">
        <f>(Indeks!E127/Indeks!$E$40*Indeks!$E$2)/Indeks!H127*100</f>
        <v>0.08409351872026041</v>
      </c>
      <c r="F127" s="116">
        <f>(Indeks!F127/Indeks!$F$40*Indeks!$F$2)/Indeks!H127*100</f>
        <v>0.08596826367022442</v>
      </c>
      <c r="G127" s="116">
        <f>(Indeks!G127/Indeks!$G$40*Indeks!$G$2)/Indeks!H127*100</f>
        <v>0.009566687756744387</v>
      </c>
      <c r="H127" s="116">
        <f t="shared" si="15"/>
        <v>1</v>
      </c>
    </row>
    <row r="128" spans="1:8" ht="12.75" hidden="1">
      <c r="A128" s="32">
        <f t="shared" si="16"/>
        <v>2015</v>
      </c>
      <c r="B128" s="67" t="s">
        <v>12</v>
      </c>
      <c r="C128" s="116">
        <f>(Indeks!C128/Indeks!$C$40*Indeks!$C$2)/Indeks!H128*100</f>
        <v>0.6555455400244043</v>
      </c>
      <c r="D128" s="116">
        <f>(Indeks!D128/Indeks!$D$40*Indeks!$D$2)/Indeks!H128*100</f>
        <v>0.16430614495045315</v>
      </c>
      <c r="E128" s="116">
        <f>(Indeks!E128/Indeks!$E$40*Indeks!$E$2)/Indeks!H128*100</f>
        <v>0.08431196365483896</v>
      </c>
      <c r="F128" s="116">
        <f>(Indeks!F128/Indeks!$F$40*Indeks!$F$2)/Indeks!H128*100</f>
        <v>0.08605570388986179</v>
      </c>
      <c r="G128" s="116">
        <f>(Indeks!G128/Indeks!$G$40*Indeks!$G$2)/Indeks!H128*100</f>
        <v>0.009780647480441537</v>
      </c>
      <c r="H128" s="116">
        <f t="shared" si="15"/>
        <v>0.9999999999999998</v>
      </c>
    </row>
    <row r="129" spans="1:8" ht="12.75" hidden="1">
      <c r="A129" s="16">
        <f t="shared" si="16"/>
        <v>2015</v>
      </c>
      <c r="B129" s="17" t="s">
        <v>13</v>
      </c>
      <c r="C129" s="117">
        <f>(Indeks!C129/Indeks!$C$40*Indeks!$C$2)/Indeks!H129*100</f>
        <v>0.6547400609596741</v>
      </c>
      <c r="D129" s="117">
        <f>(Indeks!D129/Indeks!$D$40*Indeks!$D$2)/Indeks!H129*100</f>
        <v>0.1652048916079174</v>
      </c>
      <c r="E129" s="117">
        <f>(Indeks!E129/Indeks!$E$40*Indeks!$E$2)/Indeks!H129*100</f>
        <v>0.0842513408205323</v>
      </c>
      <c r="F129" s="117">
        <f>(Indeks!F129/Indeks!$F$40*Indeks!$F$2)/Indeks!H129*100</f>
        <v>0.0869654224656679</v>
      </c>
      <c r="G129" s="117">
        <f>(Indeks!G129/Indeks!$G$40*Indeks!$G$2)/Indeks!H129*100</f>
        <v>0.008838284146208146</v>
      </c>
      <c r="H129" s="117">
        <f t="shared" si="15"/>
        <v>0.9999999999999998</v>
      </c>
    </row>
    <row r="130" spans="1:8" ht="12.75" hidden="1">
      <c r="A130" s="12">
        <f t="shared" si="16"/>
        <v>2015</v>
      </c>
      <c r="B130" s="13" t="s">
        <v>31</v>
      </c>
      <c r="C130" s="116">
        <f>(Indeks!C130/Indeks!$C$40*Indeks!$C$2)/Indeks!H130*100</f>
        <v>0.6524991913106292</v>
      </c>
      <c r="D130" s="116">
        <f>(Indeks!D130/Indeks!$D$40*Indeks!$D$2)/Indeks!H130*100</f>
        <v>0.16578316133552706</v>
      </c>
      <c r="E130" s="116">
        <f>(Indeks!E130/Indeks!$E$40*Indeks!$E$2)/Indeks!H130*100</f>
        <v>0.08380770820708698</v>
      </c>
      <c r="F130" s="116">
        <f>(Indeks!F130/Indeks!$F$40*Indeks!$F$2)/Indeks!H130*100</f>
        <v>0.08646337527049859</v>
      </c>
      <c r="G130" s="116">
        <f>(Indeks!G130/Indeks!$G$40*Indeks!$G$2)/Indeks!H130*100</f>
        <v>0.011446563876258323</v>
      </c>
      <c r="H130" s="116">
        <f t="shared" si="15"/>
        <v>1.0000000000000002</v>
      </c>
    </row>
    <row r="131" spans="1:8" ht="12.75" hidden="1">
      <c r="A131" s="32">
        <f t="shared" si="16"/>
        <v>2015</v>
      </c>
      <c r="B131" s="33" t="s">
        <v>14</v>
      </c>
      <c r="C131" s="116">
        <f>(Indeks!C131/Indeks!$C$40*Indeks!$C$2)/Indeks!H131*100</f>
        <v>0.6523585016890276</v>
      </c>
      <c r="D131" s="116">
        <f>(Indeks!D131/Indeks!$D$40*Indeks!$D$2)/Indeks!H131*100</f>
        <v>0.1644345649252042</v>
      </c>
      <c r="E131" s="116">
        <f>(Indeks!E131/Indeks!$E$40*Indeks!$E$2)/Indeks!H131*100</f>
        <v>0.0837678388451001</v>
      </c>
      <c r="F131" s="116">
        <f>(Indeks!F131/Indeks!$F$40*Indeks!$F$2)/Indeks!H131*100</f>
        <v>0.08660783560476544</v>
      </c>
      <c r="G131" s="116">
        <f>(Indeks!G131/Indeks!$G$40*Indeks!$G$2)/Indeks!H131*100</f>
        <v>0.012831258935902654</v>
      </c>
      <c r="H131" s="116">
        <f t="shared" si="15"/>
        <v>1</v>
      </c>
    </row>
    <row r="132" spans="1:8" ht="12.75" hidden="1">
      <c r="A132" s="16">
        <f t="shared" si="16"/>
        <v>2015</v>
      </c>
      <c r="B132" s="17" t="s">
        <v>15</v>
      </c>
      <c r="C132" s="117">
        <f>(Indeks!C132/Indeks!$C$40*Indeks!$C$2)/Indeks!H132*100</f>
        <v>0.655402979095513</v>
      </c>
      <c r="D132" s="117">
        <f>(Indeks!D132/Indeks!$D$40*Indeks!$D$2)/Indeks!H132*100</f>
        <v>0.1617946018038785</v>
      </c>
      <c r="E132" s="117">
        <f>(Indeks!E132/Indeks!$E$40*Indeks!$E$2)/Indeks!H132*100</f>
        <v>0.08409482267671947</v>
      </c>
      <c r="F132" s="117">
        <f>(Indeks!F132/Indeks!$F$40*Indeks!$F$2)/Indeks!H132*100</f>
        <v>0.08709395601548912</v>
      </c>
      <c r="G132" s="117">
        <f>(Indeks!G132/Indeks!$G$40*Indeks!$G$2)/Indeks!H132*100</f>
        <v>0.011613640408399812</v>
      </c>
      <c r="H132" s="117">
        <f t="shared" si="15"/>
        <v>0.9999999999999999</v>
      </c>
    </row>
    <row r="133" spans="1:8" ht="12.75" hidden="1">
      <c r="A133" s="32">
        <f t="shared" si="16"/>
        <v>2015</v>
      </c>
      <c r="B133" s="33" t="s">
        <v>16</v>
      </c>
      <c r="C133" s="116">
        <f>(Indeks!C133/Indeks!$C$40*Indeks!$C$2)/Indeks!H133*100</f>
        <v>0.6599680618345525</v>
      </c>
      <c r="D133" s="116">
        <f>(Indeks!D133/Indeks!$D$40*Indeks!$D$2)/Indeks!H133*100</f>
        <v>0.15609781828314234</v>
      </c>
      <c r="E133" s="116">
        <f>(Indeks!E133/Indeks!$E$40*Indeks!$E$2)/Indeks!H133*100</f>
        <v>0.08402663338184882</v>
      </c>
      <c r="F133" s="116">
        <f>(Indeks!F133/Indeks!$F$40*Indeks!$F$2)/Indeks!H133*100</f>
        <v>0.0874530834012621</v>
      </c>
      <c r="G133" s="116">
        <f>(Indeks!G133/Indeks!$G$40*Indeks!$G$2)/Indeks!H133*100</f>
        <v>0.012454403099194272</v>
      </c>
      <c r="H133" s="116">
        <f t="shared" si="15"/>
        <v>1</v>
      </c>
    </row>
    <row r="134" spans="1:8" ht="12.75" hidden="1">
      <c r="A134" s="32">
        <f t="shared" si="16"/>
        <v>2015</v>
      </c>
      <c r="B134" s="67" t="s">
        <v>17</v>
      </c>
      <c r="C134" s="116">
        <f>(Indeks!C134/Indeks!$C$40*Indeks!$C$2)/Indeks!H134*100</f>
        <v>0.6612042469957354</v>
      </c>
      <c r="D134" s="116">
        <f>(Indeks!D134/Indeks!$D$40*Indeks!$D$2)/Indeks!H134*100</f>
        <v>0.15374139405708265</v>
      </c>
      <c r="E134" s="116">
        <f>(Indeks!E134/Indeks!$E$40*Indeks!$E$2)/Indeks!H134*100</f>
        <v>0.08437666432568311</v>
      </c>
      <c r="F134" s="116">
        <f>(Indeks!F134/Indeks!$F$40*Indeks!$F$2)/Indeks!H134*100</f>
        <v>0.08761689163722403</v>
      </c>
      <c r="G134" s="116">
        <f>(Indeks!G134/Indeks!$G$40*Indeks!$G$2)/Indeks!H134*100</f>
        <v>0.013060802984274773</v>
      </c>
      <c r="H134" s="116">
        <f t="shared" si="15"/>
        <v>1</v>
      </c>
    </row>
    <row r="135" spans="1:8" ht="12.75" hidden="1">
      <c r="A135" s="16">
        <f t="shared" si="16"/>
        <v>2015</v>
      </c>
      <c r="B135" s="17" t="s">
        <v>18</v>
      </c>
      <c r="C135" s="117">
        <f>(Indeks!C135/Indeks!$C$40*Indeks!$C$2)/Indeks!H135*100</f>
        <v>0.6610390420357117</v>
      </c>
      <c r="D135" s="117">
        <f>(Indeks!D135/Indeks!$D$40*Indeks!$D$2)/Indeks!H135*100</f>
        <v>0.1542546787604598</v>
      </c>
      <c r="E135" s="117">
        <f>(Indeks!E135/Indeks!$E$40*Indeks!$E$2)/Indeks!H135*100</f>
        <v>0.08435558242319958</v>
      </c>
      <c r="F135" s="117">
        <f>(Indeks!F135/Indeks!$F$40*Indeks!$F$2)/Indeks!H135*100</f>
        <v>0.08775949780172024</v>
      </c>
      <c r="G135" s="117">
        <f>(Indeks!G135/Indeks!$G$40*Indeks!$G$2)/Indeks!H135*100</f>
        <v>0.012591198978908699</v>
      </c>
      <c r="H135" s="117">
        <f t="shared" si="15"/>
        <v>1</v>
      </c>
    </row>
    <row r="136" spans="1:8" ht="12.75" hidden="1">
      <c r="A136" s="56">
        <v>2016</v>
      </c>
      <c r="B136" s="67" t="s">
        <v>8</v>
      </c>
      <c r="C136" s="116">
        <f>(Indeks!C136/Indeks!$C$40*Indeks!$C$2)/Indeks!H136*100</f>
        <v>0.66318952881571</v>
      </c>
      <c r="D136" s="116">
        <f>(Indeks!D136/Indeks!$D$40*Indeks!$D$2)/Indeks!H136*100</f>
        <v>0.15283904887282665</v>
      </c>
      <c r="E136" s="116">
        <f>(Indeks!E136/Indeks!$E$40*Indeks!$E$2)/Indeks!H136*100</f>
        <v>0.08410912935672982</v>
      </c>
      <c r="F136" s="116">
        <f>(Indeks!F136/Indeks!$F$40*Indeks!$F$2)/Indeks!H136*100</f>
        <v>0.08785254383820922</v>
      </c>
      <c r="G136" s="116">
        <f>(Indeks!G136/Indeks!$G$40*Indeks!$G$2)/Indeks!H136*100</f>
        <v>0.012009749116524273</v>
      </c>
      <c r="H136" s="116">
        <f aca="true" t="shared" si="17" ref="H136:H147">SUM(C136:G136)</f>
        <v>1</v>
      </c>
    </row>
    <row r="137" spans="1:8" ht="12.75" hidden="1">
      <c r="A137" s="32">
        <f>A136</f>
        <v>2016</v>
      </c>
      <c r="B137" s="33" t="s">
        <v>9</v>
      </c>
      <c r="C137" s="116">
        <f>(Indeks!C137/Indeks!$C$40*Indeks!$C$2)/Indeks!H137*100</f>
        <v>0.6686775123918736</v>
      </c>
      <c r="D137" s="116">
        <f>(Indeks!D137/Indeks!$D$40*Indeks!$D$2)/Indeks!H137*100</f>
        <v>0.1450912432386058</v>
      </c>
      <c r="E137" s="116">
        <f>(Indeks!E137/Indeks!$E$40*Indeks!$E$2)/Indeks!H137*100</f>
        <v>0.08483719105801665</v>
      </c>
      <c r="F137" s="116">
        <f>(Indeks!F137/Indeks!$F$40*Indeks!$F$2)/Indeks!H137*100</f>
        <v>0.08857953559058089</v>
      </c>
      <c r="G137" s="116">
        <f>(Indeks!G137/Indeks!$G$40*Indeks!$G$2)/Indeks!H137*100</f>
        <v>0.012814517720923284</v>
      </c>
      <c r="H137" s="116">
        <f t="shared" si="17"/>
        <v>1.0000000000000002</v>
      </c>
    </row>
    <row r="138" spans="1:8" ht="12.75" hidden="1">
      <c r="A138" s="16">
        <f aca="true" t="shared" si="18" ref="A138:A147">A137</f>
        <v>2016</v>
      </c>
      <c r="B138" s="17" t="s">
        <v>10</v>
      </c>
      <c r="C138" s="117">
        <f>(Indeks!C138/Indeks!$C$40*Indeks!$C$2)/Indeks!H138*100</f>
        <v>0.6724373420610812</v>
      </c>
      <c r="D138" s="117">
        <f>(Indeks!D138/Indeks!$D$40*Indeks!$D$2)/Indeks!H138*100</f>
        <v>0.14057490836111153</v>
      </c>
      <c r="E138" s="117">
        <f>(Indeks!E138/Indeks!$E$40*Indeks!$E$2)/Indeks!H138*100</f>
        <v>0.08494017334540177</v>
      </c>
      <c r="F138" s="117">
        <f>(Indeks!F138/Indeks!$F$40*Indeks!$F$2)/Indeks!H138*100</f>
        <v>0.08916100523762324</v>
      </c>
      <c r="G138" s="117">
        <f>(Indeks!G138/Indeks!$G$40*Indeks!$G$2)/Indeks!H138*100</f>
        <v>0.012886570994782265</v>
      </c>
      <c r="H138" s="117">
        <f t="shared" si="17"/>
        <v>1</v>
      </c>
    </row>
    <row r="139" spans="1:8" ht="12.75" hidden="1">
      <c r="A139" s="32">
        <f t="shared" si="18"/>
        <v>2016</v>
      </c>
      <c r="B139" s="33" t="s">
        <v>11</v>
      </c>
      <c r="C139" s="116">
        <f>(Indeks!C139/Indeks!$C$40*Indeks!$C$2)/Indeks!H139*100</f>
        <v>0.6754505485456167</v>
      </c>
      <c r="D139" s="116">
        <f>(Indeks!D139/Indeks!$D$40*Indeks!$D$2)/Indeks!H139*100</f>
        <v>0.1383928124575505</v>
      </c>
      <c r="E139" s="116">
        <f>(Indeks!E139/Indeks!$E$40*Indeks!$E$2)/Indeks!H139*100</f>
        <v>0.08558783685872594</v>
      </c>
      <c r="F139" s="116">
        <f>(Indeks!F139/Indeks!$F$40*Indeks!$F$2)/Indeks!H139*100</f>
        <v>0.08921259462173607</v>
      </c>
      <c r="G139" s="116">
        <f>(Indeks!G139/Indeks!$G$40*Indeks!$G$2)/Indeks!H139*100</f>
        <v>0.011356207516370686</v>
      </c>
      <c r="H139" s="116">
        <f t="shared" si="17"/>
        <v>0.9999999999999999</v>
      </c>
    </row>
    <row r="140" spans="1:8" ht="12.75" hidden="1">
      <c r="A140" s="32">
        <f t="shared" si="18"/>
        <v>2016</v>
      </c>
      <c r="B140" s="67" t="s">
        <v>12</v>
      </c>
      <c r="C140" s="116">
        <f>(Indeks!C140/Indeks!$C$40*Indeks!$C$2)/Indeks!H140*100</f>
        <v>0.6712187016295557</v>
      </c>
      <c r="D140" s="116">
        <f>(Indeks!D140/Indeks!$D$40*Indeks!$D$2)/Indeks!H140*100</f>
        <v>0.14491615341422015</v>
      </c>
      <c r="E140" s="116">
        <f>(Indeks!E140/Indeks!$E$40*Indeks!$E$2)/Indeks!H140*100</f>
        <v>0.08513657679512304</v>
      </c>
      <c r="F140" s="116">
        <f>(Indeks!F140/Indeks!$F$40*Indeks!$F$2)/Indeks!H140*100</f>
        <v>0.08873658939837173</v>
      </c>
      <c r="G140" s="116">
        <f>(Indeks!G140/Indeks!$G$40*Indeks!$G$2)/Indeks!H140*100</f>
        <v>0.009991978762729333</v>
      </c>
      <c r="H140" s="116">
        <f t="shared" si="17"/>
        <v>0.9999999999999998</v>
      </c>
    </row>
    <row r="141" spans="1:8" ht="12.75" hidden="1">
      <c r="A141" s="16">
        <f t="shared" si="18"/>
        <v>2016</v>
      </c>
      <c r="B141" s="17" t="s">
        <v>13</v>
      </c>
      <c r="C141" s="117">
        <f>(Indeks!C141/Indeks!$C$40*Indeks!$C$2)/Indeks!H141*100</f>
        <v>0.6716546695709004</v>
      </c>
      <c r="D141" s="117">
        <f>(Indeks!D141/Indeks!$D$40*Indeks!$D$2)/Indeks!H141*100</f>
        <v>0.14420645253616504</v>
      </c>
      <c r="E141" s="117">
        <f>(Indeks!E141/Indeks!$E$40*Indeks!$E$2)/Indeks!H141*100</f>
        <v>0.08527689627781897</v>
      </c>
      <c r="F141" s="117">
        <f>(Indeks!F141/Indeks!$F$40*Indeks!$F$2)/Indeks!H141*100</f>
        <v>0.08862825480496592</v>
      </c>
      <c r="G141" s="117">
        <f>(Indeks!G141/Indeks!$G$40*Indeks!$G$2)/Indeks!H141*100</f>
        <v>0.010233726810149616</v>
      </c>
      <c r="H141" s="117">
        <f t="shared" si="17"/>
        <v>1</v>
      </c>
    </row>
    <row r="142" spans="1:8" ht="12.75" hidden="1">
      <c r="A142" s="12">
        <f t="shared" si="18"/>
        <v>2016</v>
      </c>
      <c r="B142" s="13" t="s">
        <v>31</v>
      </c>
      <c r="C142" s="116">
        <f>(Indeks!C142/Indeks!$C$40*Indeks!$C$2)/Indeks!H142*100</f>
        <v>0.6704212316509613</v>
      </c>
      <c r="D142" s="116">
        <f>(Indeks!D142/Indeks!$D$40*Indeks!$D$2)/Indeks!H142*100</f>
        <v>0.1471530144356307</v>
      </c>
      <c r="E142" s="116">
        <f>(Indeks!E142/Indeks!$E$40*Indeks!$E$2)/Indeks!H142*100</f>
        <v>0.08482864030724241</v>
      </c>
      <c r="F142" s="116">
        <f>(Indeks!F142/Indeks!$F$40*Indeks!$F$2)/Indeks!H142*100</f>
        <v>0.08790455020032314</v>
      </c>
      <c r="G142" s="116">
        <f>(Indeks!G142/Indeks!$G$40*Indeks!$G$2)/Indeks!H142*100</f>
        <v>0.009692563405842368</v>
      </c>
      <c r="H142" s="116">
        <f t="shared" si="17"/>
        <v>1</v>
      </c>
    </row>
    <row r="143" spans="1:8" ht="12.75" hidden="1">
      <c r="A143" s="32">
        <f t="shared" si="18"/>
        <v>2016</v>
      </c>
      <c r="B143" s="33" t="s">
        <v>14</v>
      </c>
      <c r="C143" s="116">
        <f>(Indeks!C143/Indeks!$C$40*Indeks!$C$2)/Indeks!H143*100</f>
        <v>0.6680490278534438</v>
      </c>
      <c r="D143" s="116">
        <f>(Indeks!D143/Indeks!$D$40*Indeks!$D$2)/Indeks!H143*100</f>
        <v>0.1525167091590274</v>
      </c>
      <c r="E143" s="116">
        <f>(Indeks!E143/Indeks!$E$40*Indeks!$E$2)/Indeks!H143*100</f>
        <v>0.0846125924497086</v>
      </c>
      <c r="F143" s="116">
        <f>(Indeks!F143/Indeks!$F$40*Indeks!$F$2)/Indeks!H143*100</f>
        <v>0.08783979045214856</v>
      </c>
      <c r="G143" s="116">
        <f>(Indeks!G143/Indeks!$G$40*Indeks!$G$2)/Indeks!H143*100</f>
        <v>0.006981880085671668</v>
      </c>
      <c r="H143" s="116">
        <f t="shared" si="17"/>
        <v>1</v>
      </c>
    </row>
    <row r="144" spans="1:8" ht="12.75" hidden="1">
      <c r="A144" s="16">
        <f t="shared" si="18"/>
        <v>2016</v>
      </c>
      <c r="B144" s="17" t="s">
        <v>15</v>
      </c>
      <c r="C144" s="117">
        <f>(Indeks!C144/Indeks!$C$40*Indeks!$C$2)/Indeks!H144*100</f>
        <v>0.6707480307449778</v>
      </c>
      <c r="D144" s="117">
        <f>(Indeks!D144/Indeks!$D$40*Indeks!$D$2)/Indeks!H144*100</f>
        <v>0.1486618625676689</v>
      </c>
      <c r="E144" s="117">
        <f>(Indeks!E144/Indeks!$E$40*Indeks!$E$2)/Indeks!H144*100</f>
        <v>0.08486999031450694</v>
      </c>
      <c r="F144" s="117">
        <f>(Indeks!F144/Indeks!$F$40*Indeks!$F$2)/Indeks!H144*100</f>
        <v>0.08835952421678886</v>
      </c>
      <c r="G144" s="117">
        <f>(Indeks!G144/Indeks!$G$40*Indeks!$G$2)/Indeks!H144*100</f>
        <v>0.007360592156057566</v>
      </c>
      <c r="H144" s="117">
        <f t="shared" si="17"/>
        <v>1</v>
      </c>
    </row>
    <row r="145" spans="1:8" ht="12.75" hidden="1">
      <c r="A145" s="32">
        <f t="shared" si="18"/>
        <v>2016</v>
      </c>
      <c r="B145" s="33" t="s">
        <v>16</v>
      </c>
      <c r="C145" s="116">
        <f>(Indeks!C145/Indeks!$C$40*Indeks!$C$2)/Indeks!H145*100</f>
        <v>0.6740619911795952</v>
      </c>
      <c r="D145" s="116">
        <f>(Indeks!D145/Indeks!$D$40*Indeks!$D$2)/Indeks!H145*100</f>
        <v>0.1455122722160488</v>
      </c>
      <c r="E145" s="116">
        <f>(Indeks!E145/Indeks!$E$40*Indeks!$E$2)/Indeks!H145*100</f>
        <v>0.08464224407639204</v>
      </c>
      <c r="F145" s="116">
        <f>(Indeks!F145/Indeks!$F$40*Indeks!$F$2)/Indeks!H145*100</f>
        <v>0.08830380361163616</v>
      </c>
      <c r="G145" s="116">
        <f>(Indeks!G145/Indeks!$G$40*Indeks!$G$2)/Indeks!H145*100</f>
        <v>0.007479688916327705</v>
      </c>
      <c r="H145" s="116">
        <f t="shared" si="17"/>
        <v>0.9999999999999999</v>
      </c>
    </row>
    <row r="146" spans="1:8" ht="12.75" hidden="1">
      <c r="A146" s="32">
        <f t="shared" si="18"/>
        <v>2016</v>
      </c>
      <c r="B146" s="67" t="s">
        <v>17</v>
      </c>
      <c r="C146" s="116">
        <f>(Indeks!C146/Indeks!$C$40*Indeks!$C$2)/Indeks!H146*100</f>
        <v>0.6717376802941065</v>
      </c>
      <c r="D146" s="116">
        <f>(Indeks!D146/Indeks!$D$40*Indeks!$D$2)/Indeks!H146*100</f>
        <v>0.14930830149971933</v>
      </c>
      <c r="E146" s="116">
        <f>(Indeks!E146/Indeks!$E$40*Indeks!$E$2)/Indeks!H146*100</f>
        <v>0.08435037939353897</v>
      </c>
      <c r="F146" s="116">
        <f>(Indeks!F146/Indeks!$F$40*Indeks!$F$2)/Indeks!H146*100</f>
        <v>0.08808147864152811</v>
      </c>
      <c r="G146" s="116">
        <f>(Indeks!G146/Indeks!$G$40*Indeks!$G$2)/Indeks!H146*100</f>
        <v>0.006522160171106911</v>
      </c>
      <c r="H146" s="116">
        <f t="shared" si="17"/>
        <v>0.9999999999999999</v>
      </c>
    </row>
    <row r="147" spans="1:8" ht="13.5" hidden="1" thickBot="1">
      <c r="A147" s="38">
        <f t="shared" si="18"/>
        <v>2016</v>
      </c>
      <c r="B147" s="39" t="s">
        <v>18</v>
      </c>
      <c r="C147" s="93">
        <f>(Indeks!C147/Indeks!$C$40*Indeks!$C$2)/Indeks!H147*100</f>
        <v>0.6660735678736883</v>
      </c>
      <c r="D147" s="93">
        <f>(Indeks!D147/Indeks!$D$40*Indeks!$D$2)/Indeks!H147*100</f>
        <v>0.15388922830979196</v>
      </c>
      <c r="E147" s="93">
        <f>(Indeks!E147/Indeks!$E$40*Indeks!$E$2)/Indeks!H147*100</f>
        <v>0.08380607882552137</v>
      </c>
      <c r="F147" s="93">
        <f>(Indeks!F147/Indeks!$F$40*Indeks!$F$2)/Indeks!H147*100</f>
        <v>0.08733877295176565</v>
      </c>
      <c r="G147" s="93">
        <f>(Indeks!G147/Indeks!$G$40*Indeks!$G$2)/Indeks!H147*100</f>
        <v>0.00889235203923258</v>
      </c>
      <c r="H147" s="93">
        <f t="shared" si="17"/>
        <v>0.9999999999999999</v>
      </c>
    </row>
    <row r="148" spans="1:8" ht="12.75" hidden="1">
      <c r="A148" s="8">
        <v>2017</v>
      </c>
      <c r="B148" s="67" t="s">
        <v>8</v>
      </c>
      <c r="C148" s="116">
        <f>(Indeks!C148/Indeks!$C$40*Indeks!$C$2)/Indeks!H148*100</f>
        <v>0.6692233274221457</v>
      </c>
      <c r="D148" s="116">
        <f>(Indeks!D148/Indeks!$D$40*Indeks!$D$2)/Indeks!H148*100</f>
        <v>0.15054911910293195</v>
      </c>
      <c r="E148" s="116">
        <f>(Indeks!E148/Indeks!$E$40*Indeks!$E$2)/Indeks!H148*100</f>
        <v>0.08379622480444693</v>
      </c>
      <c r="F148" s="116">
        <f>(Indeks!F148/Indeks!$F$40*Indeks!$F$2)/Indeks!H148*100</f>
        <v>0.08741557085384974</v>
      </c>
      <c r="G148" s="116">
        <f>(Indeks!G148/Indeks!$G$40*Indeks!$G$2)/Indeks!H148*100</f>
        <v>0.00901575781662569</v>
      </c>
      <c r="H148" s="116">
        <f aca="true" t="shared" si="19" ref="H148:H159">SUM(C148:G148)</f>
        <v>1.0000000000000002</v>
      </c>
    </row>
    <row r="149" spans="1:8" ht="12.75" hidden="1">
      <c r="A149" s="12">
        <f>A148</f>
        <v>2017</v>
      </c>
      <c r="B149" s="33" t="s">
        <v>9</v>
      </c>
      <c r="C149" s="116">
        <f>(Indeks!C149/Indeks!$C$40*Indeks!$C$2)/Indeks!H149*100</f>
        <v>0.6643264041935266</v>
      </c>
      <c r="D149" s="116">
        <f>(Indeks!D149/Indeks!$D$40*Indeks!$D$2)/Indeks!H149*100</f>
        <v>0.157433145444304</v>
      </c>
      <c r="E149" s="116">
        <f>(Indeks!E149/Indeks!$E$40*Indeks!$E$2)/Indeks!H149*100</f>
        <v>0.08317668256151173</v>
      </c>
      <c r="F149" s="116">
        <f>(Indeks!F149/Indeks!$F$40*Indeks!$F$2)/Indeks!H149*100</f>
        <v>0.08668832771566812</v>
      </c>
      <c r="G149" s="116">
        <f>(Indeks!G149/Indeks!$G$40*Indeks!$G$2)/Indeks!H149*100</f>
        <v>0.008375440084989538</v>
      </c>
      <c r="H149" s="116">
        <f t="shared" si="19"/>
        <v>1</v>
      </c>
    </row>
    <row r="150" spans="1:8" ht="12.75" hidden="1">
      <c r="A150" s="16">
        <f aca="true" t="shared" si="20" ref="A150:A159">A149</f>
        <v>2017</v>
      </c>
      <c r="B150" s="17" t="s">
        <v>10</v>
      </c>
      <c r="C150" s="117">
        <f>(Indeks!C150/Indeks!$C$40*Indeks!$C$2)/Indeks!H150*100</f>
        <v>0.6610511552863786</v>
      </c>
      <c r="D150" s="117">
        <f>(Indeks!D150/Indeks!$D$40*Indeks!$D$2)/Indeks!H150*100</f>
        <v>0.16008969414902047</v>
      </c>
      <c r="E150" s="117">
        <f>(Indeks!E150/Indeks!$E$40*Indeks!$E$2)/Indeks!H150*100</f>
        <v>0.08276660652518361</v>
      </c>
      <c r="F150" s="117">
        <f>(Indeks!F150/Indeks!$F$40*Indeks!$F$2)/Indeks!H150*100</f>
        <v>0.08650256591490267</v>
      </c>
      <c r="G150" s="117">
        <f>(Indeks!G150/Indeks!$G$40*Indeks!$G$2)/Indeks!H150*100</f>
        <v>0.009589978124514507</v>
      </c>
      <c r="H150" s="117">
        <f t="shared" si="19"/>
        <v>0.9999999999999999</v>
      </c>
    </row>
    <row r="151" spans="1:8" ht="12.75" hidden="1">
      <c r="A151" s="32">
        <f t="shared" si="20"/>
        <v>2017</v>
      </c>
      <c r="B151" s="33" t="s">
        <v>11</v>
      </c>
      <c r="C151" s="116">
        <f>(Indeks!C151/Indeks!$C$40*Indeks!$C$2)/Indeks!H151*100</f>
        <v>0.6639867851036624</v>
      </c>
      <c r="D151" s="116">
        <f>(Indeks!D151/Indeks!$D$40*Indeks!$D$2)/Indeks!H151*100</f>
        <v>0.15711258478972015</v>
      </c>
      <c r="E151" s="116">
        <f>(Indeks!E151/Indeks!$E$40*Indeks!$E$2)/Indeks!H151*100</f>
        <v>0.08342012970489518</v>
      </c>
      <c r="F151" s="116">
        <f>(Indeks!F151/Indeks!$F$40*Indeks!$F$2)/Indeks!H151*100</f>
        <v>0.086576228317706</v>
      </c>
      <c r="G151" s="116">
        <f>(Indeks!G151/Indeks!$G$40*Indeks!$G$2)/Indeks!H151*100</f>
        <v>0.008904272084016358</v>
      </c>
      <c r="H151" s="116">
        <f t="shared" si="19"/>
        <v>1.0000000000000002</v>
      </c>
    </row>
    <row r="152" spans="1:8" ht="12.75" hidden="1">
      <c r="A152" s="32">
        <f t="shared" si="20"/>
        <v>2017</v>
      </c>
      <c r="B152" s="67" t="s">
        <v>12</v>
      </c>
      <c r="C152" s="116">
        <f>(Indeks!C152/Indeks!$C$40*Indeks!$C$2)/Indeks!H152*100</f>
        <v>0.6662168802534548</v>
      </c>
      <c r="D152" s="116">
        <f>(Indeks!D152/Indeks!$D$40*Indeks!$D$2)/Indeks!H152*100</f>
        <v>0.15513555866974502</v>
      </c>
      <c r="E152" s="116">
        <f>(Indeks!E152/Indeks!$E$40*Indeks!$E$2)/Indeks!H152*100</f>
        <v>0.08378309783506287</v>
      </c>
      <c r="F152" s="116">
        <f>(Indeks!F152/Indeks!$F$40*Indeks!$F$2)/Indeks!H152*100</f>
        <v>0.08719023310948124</v>
      </c>
      <c r="G152" s="116">
        <f>(Indeks!G152/Indeks!$G$40*Indeks!$G$2)/Indeks!H152*100</f>
        <v>0.007674230132256136</v>
      </c>
      <c r="H152" s="116">
        <f t="shared" si="19"/>
        <v>1.0000000000000002</v>
      </c>
    </row>
    <row r="153" spans="1:8" ht="12.75" hidden="1">
      <c r="A153" s="16">
        <f t="shared" si="20"/>
        <v>2017</v>
      </c>
      <c r="B153" s="17" t="s">
        <v>13</v>
      </c>
      <c r="C153" s="117">
        <f>(Indeks!C153/Indeks!$C$40*Indeks!$C$2)/Indeks!H153*100</f>
        <v>0.663735774563965</v>
      </c>
      <c r="D153" s="117">
        <f>(Indeks!D153/Indeks!$D$40*Indeks!$D$2)/Indeks!H153*100</f>
        <v>0.15736511358471536</v>
      </c>
      <c r="E153" s="117">
        <f>(Indeks!E153/Indeks!$E$40*Indeks!$E$2)/Indeks!H153*100</f>
        <v>0.08363603783797967</v>
      </c>
      <c r="F153" s="117">
        <f>(Indeks!F153/Indeks!$F$40*Indeks!$F$2)/Indeks!H153*100</f>
        <v>0.0867045105964574</v>
      </c>
      <c r="G153" s="117">
        <f>(Indeks!G153/Indeks!$G$40*Indeks!$G$2)/Indeks!H153*100</f>
        <v>0.008558563416882497</v>
      </c>
      <c r="H153" s="117">
        <f t="shared" si="19"/>
        <v>1</v>
      </c>
    </row>
    <row r="154" spans="1:8" ht="12.75" hidden="1">
      <c r="A154" s="12">
        <f t="shared" si="20"/>
        <v>2017</v>
      </c>
      <c r="B154" s="13" t="s">
        <v>31</v>
      </c>
      <c r="C154" s="116">
        <f>(Indeks!C154/Indeks!$C$40*Indeks!$C$2)/Indeks!H154*100</f>
        <v>0.668150524861745</v>
      </c>
      <c r="D154" s="116">
        <f>(Indeks!D154/Indeks!$D$40*Indeks!$D$2)/Indeks!H154*100</f>
        <v>0.15225444214772238</v>
      </c>
      <c r="E154" s="116">
        <f>(Indeks!E154/Indeks!$E$40*Indeks!$E$2)/Indeks!H154*100</f>
        <v>0.0839172715461852</v>
      </c>
      <c r="F154" s="116">
        <f>(Indeks!F154/Indeks!$F$40*Indeks!$F$2)/Indeks!H154*100</f>
        <v>0.0870819419477802</v>
      </c>
      <c r="G154" s="116">
        <f>(Indeks!G154/Indeks!$G$40*Indeks!$G$2)/Indeks!H154*100</f>
        <v>0.008595819496567328</v>
      </c>
      <c r="H154" s="116">
        <f t="shared" si="19"/>
        <v>1</v>
      </c>
    </row>
    <row r="155" spans="1:8" ht="12.75" hidden="1">
      <c r="A155" s="32">
        <f t="shared" si="20"/>
        <v>2017</v>
      </c>
      <c r="B155" s="33" t="s">
        <v>14</v>
      </c>
      <c r="C155" s="116">
        <f>(Indeks!C155/Indeks!$C$40*Indeks!$C$2)/Indeks!H155*100</f>
        <v>0.6718424316695362</v>
      </c>
      <c r="D155" s="116">
        <f>(Indeks!D155/Indeks!$D$40*Indeks!$D$2)/Indeks!H155*100</f>
        <v>0.14852806237038982</v>
      </c>
      <c r="E155" s="116">
        <f>(Indeks!E155/Indeks!$E$40*Indeks!$E$2)/Indeks!H155*100</f>
        <v>0.0842976635034811</v>
      </c>
      <c r="F155" s="116">
        <f>(Indeks!F155/Indeks!$F$40*Indeks!$F$2)/Indeks!H155*100</f>
        <v>0.08772572417795238</v>
      </c>
      <c r="G155" s="116">
        <f>(Indeks!G155/Indeks!$G$40*Indeks!$G$2)/Indeks!H155*100</f>
        <v>0.007606118278640643</v>
      </c>
      <c r="H155" s="116">
        <f t="shared" si="19"/>
        <v>1.0000000000000002</v>
      </c>
    </row>
    <row r="156" spans="1:10" ht="12.75" hidden="1">
      <c r="A156" s="63">
        <f t="shared" si="20"/>
        <v>2017</v>
      </c>
      <c r="B156" s="64" t="s">
        <v>15</v>
      </c>
      <c r="C156" s="117">
        <f>(Indeks!C156/Indeks!$C$40*Indeks!$C$2)/Indeks!H156*100</f>
        <v>0.6713542456502137</v>
      </c>
      <c r="D156" s="117">
        <f>(Indeks!D156/Indeks!$D$40*Indeks!$D$2)/Indeks!H156*100</f>
        <v>0.1484201362851825</v>
      </c>
      <c r="E156" s="117">
        <f>(Indeks!E156/Indeks!$E$40*Indeks!$E$2)/Indeks!H156*100</f>
        <v>0.08490231011717278</v>
      </c>
      <c r="F156" s="117">
        <f>(Indeks!F156/Indeks!$F$40*Indeks!$F$2)/Indeks!H156*100</f>
        <v>0.08806819798751857</v>
      </c>
      <c r="G156" s="117">
        <f>(Indeks!G156/Indeks!$G$40*Indeks!$G$2)/Indeks!H156*100</f>
        <v>0.007255109959912516</v>
      </c>
      <c r="H156" s="117">
        <f t="shared" si="19"/>
        <v>1</v>
      </c>
      <c r="J156" s="13"/>
    </row>
    <row r="157" spans="1:8" ht="12.75" hidden="1">
      <c r="A157" s="32">
        <f t="shared" si="20"/>
        <v>2017</v>
      </c>
      <c r="B157" s="33" t="s">
        <v>16</v>
      </c>
      <c r="C157" s="116">
        <f>(Indeks!C157/Indeks!$C$40*Indeks!$C$2)/Indeks!H157*100</f>
        <v>0.6732717743741058</v>
      </c>
      <c r="D157" s="116">
        <f>(Indeks!D157/Indeks!$D$40*Indeks!$D$2)/Indeks!H157*100</f>
        <v>0.14810022073670043</v>
      </c>
      <c r="E157" s="116">
        <f>(Indeks!E157/Indeks!$E$40*Indeks!$E$2)/Indeks!H157*100</f>
        <v>0.0843806500084774</v>
      </c>
      <c r="F157" s="116">
        <f>(Indeks!F157/Indeks!$F$40*Indeks!$F$2)/Indeks!H157*100</f>
        <v>0.08770429517135103</v>
      </c>
      <c r="G157" s="116">
        <f>(Indeks!G157/Indeks!$G$40*Indeks!$G$2)/Indeks!H157*100</f>
        <v>0.006543059709365263</v>
      </c>
      <c r="H157" s="116">
        <f t="shared" si="19"/>
        <v>1</v>
      </c>
    </row>
    <row r="158" spans="1:8" ht="12.75" hidden="1">
      <c r="A158" s="32">
        <f t="shared" si="20"/>
        <v>2017</v>
      </c>
      <c r="B158" s="67" t="s">
        <v>17</v>
      </c>
      <c r="C158" s="116">
        <f>(Indeks!C158/Indeks!$C$40*Indeks!$C$2)/Indeks!H158*100</f>
        <v>0.6705536002585736</v>
      </c>
      <c r="D158" s="116">
        <f>(Indeks!D158/Indeks!$D$40*Indeks!$D$2)/Indeks!H158*100</f>
        <v>0.15218987457792701</v>
      </c>
      <c r="E158" s="116">
        <f>(Indeks!E158/Indeks!$E$40*Indeks!$E$2)/Indeks!H158*100</f>
        <v>0.08412261845628272</v>
      </c>
      <c r="F158" s="116">
        <f>(Indeks!F158/Indeks!$F$40*Indeks!$F$2)/Indeks!H158*100</f>
        <v>0.08718889844936291</v>
      </c>
      <c r="G158" s="116">
        <f>(Indeks!G158/Indeks!$G$40*Indeks!$G$2)/Indeks!H158*100</f>
        <v>0.0059450082578536316</v>
      </c>
      <c r="H158" s="116">
        <f t="shared" si="19"/>
        <v>0.9999999999999998</v>
      </c>
    </row>
    <row r="159" spans="1:8" ht="13.5" hidden="1" thickBot="1">
      <c r="A159" s="38">
        <f t="shared" si="20"/>
        <v>2017</v>
      </c>
      <c r="B159" s="39" t="s">
        <v>18</v>
      </c>
      <c r="C159" s="93">
        <f>(Indeks!C159/Indeks!$C$40*Indeks!$C$2)/Indeks!H159*100</f>
        <v>0.6672545885442125</v>
      </c>
      <c r="D159" s="93">
        <f>(Indeks!D159/Indeks!$D$40*Indeks!$D$2)/Indeks!H159*100</f>
        <v>0.15470628355788107</v>
      </c>
      <c r="E159" s="93">
        <f>(Indeks!E159/Indeks!$E$40*Indeks!$E$2)/Indeks!H159*100</f>
        <v>0.08379097785783536</v>
      </c>
      <c r="F159" s="93">
        <f>(Indeks!F159/Indeks!$F$40*Indeks!$F$2)/Indeks!H159*100</f>
        <v>0.08708097950080565</v>
      </c>
      <c r="G159" s="93">
        <f>(Indeks!G159/Indeks!$G$40*Indeks!$G$2)/Indeks!H159*100</f>
        <v>0.007167170539265383</v>
      </c>
      <c r="H159" s="93">
        <f t="shared" si="19"/>
        <v>1</v>
      </c>
    </row>
    <row r="160" spans="1:8" ht="12.75" hidden="1">
      <c r="A160" s="8">
        <v>2018</v>
      </c>
      <c r="B160" s="67" t="s">
        <v>8</v>
      </c>
      <c r="C160" s="116">
        <f>(Indeks!C160/Indeks!$C$40*Indeks!$C$2)/Indeks!H160*100</f>
        <v>0.6679735501173855</v>
      </c>
      <c r="D160" s="116">
        <f>(Indeks!D160/Indeks!$D$40*Indeks!$D$2)/Indeks!H160*100</f>
        <v>0.1543669068915094</v>
      </c>
      <c r="E160" s="116">
        <f>(Indeks!E160/Indeks!$E$40*Indeks!$E$2)/Indeks!H160*100</f>
        <v>0.08319379848187951</v>
      </c>
      <c r="F160" s="116">
        <f>(Indeks!F160/Indeks!$F$40*Indeks!$F$2)/Indeks!H160*100</f>
        <v>0.08687549307000202</v>
      </c>
      <c r="G160" s="116">
        <f>(Indeks!G160/Indeks!$G$40*Indeks!$G$2)/Indeks!H160*100</f>
        <v>0.0075902514392236185</v>
      </c>
      <c r="H160" s="116">
        <f aca="true" t="shared" si="21" ref="H160:H171">SUM(C160:G160)</f>
        <v>0.9999999999999999</v>
      </c>
    </row>
    <row r="161" spans="1:8" ht="12.75" hidden="1">
      <c r="A161" s="12">
        <f>A160</f>
        <v>2018</v>
      </c>
      <c r="B161" s="33" t="s">
        <v>9</v>
      </c>
      <c r="C161" s="116">
        <f>(Indeks!C161/Indeks!$C$40*Indeks!$C$2)/Indeks!H161*100</f>
        <v>0.66725464529161</v>
      </c>
      <c r="D161" s="116">
        <f>(Indeks!D161/Indeks!$D$40*Indeks!$D$2)/Indeks!H161*100</f>
        <v>0.1565207413655024</v>
      </c>
      <c r="E161" s="116">
        <f>(Indeks!E161/Indeks!$E$40*Indeks!$E$2)/Indeks!H161*100</f>
        <v>0.0828588747704011</v>
      </c>
      <c r="F161" s="116">
        <f>(Indeks!F161/Indeks!$F$40*Indeks!$F$2)/Indeks!H161*100</f>
        <v>0.08646264858022643</v>
      </c>
      <c r="G161" s="116">
        <f>(Indeks!G161/Indeks!$G$40*Indeks!$G$2)/Indeks!H161*100</f>
        <v>0.006903089992260003</v>
      </c>
      <c r="H161" s="116">
        <f t="shared" si="21"/>
        <v>1</v>
      </c>
    </row>
    <row r="162" spans="1:8" ht="12.75" hidden="1">
      <c r="A162" s="16">
        <f aca="true" t="shared" si="22" ref="A162:A171">A161</f>
        <v>2018</v>
      </c>
      <c r="B162" s="17" t="s">
        <v>10</v>
      </c>
      <c r="C162" s="117">
        <f>(Indeks!C162/Indeks!$C$40*Indeks!$C$2)/Indeks!H162*100</f>
        <v>0.6645674093662952</v>
      </c>
      <c r="D162" s="117">
        <f>(Indeks!D162/Indeks!$D$40*Indeks!$D$2)/Indeks!H162*100</f>
        <v>0.15743080390556097</v>
      </c>
      <c r="E162" s="117">
        <f>(Indeks!E162/Indeks!$E$40*Indeks!$E$2)/Indeks!H162*100</f>
        <v>0.08228077871095126</v>
      </c>
      <c r="F162" s="117">
        <f>(Indeks!F162/Indeks!$F$40*Indeks!$F$2)/Indeks!H162*100</f>
        <v>0.0865915256839185</v>
      </c>
      <c r="G162" s="117">
        <f>(Indeks!G162/Indeks!$G$40*Indeks!$G$2)/Indeks!H162*100</f>
        <v>0.009129482333273962</v>
      </c>
      <c r="H162" s="117">
        <f t="shared" si="21"/>
        <v>0.9999999999999999</v>
      </c>
    </row>
    <row r="163" spans="1:8" ht="12.75" hidden="1">
      <c r="A163" s="32">
        <f t="shared" si="22"/>
        <v>2018</v>
      </c>
      <c r="B163" s="33" t="s">
        <v>11</v>
      </c>
      <c r="C163" s="116">
        <f>(Indeks!C163/Indeks!$C$40*Indeks!$C$2)/Indeks!H163*100</f>
        <v>0.6678369139622821</v>
      </c>
      <c r="D163" s="116">
        <f>(Indeks!D163/Indeks!$D$40*Indeks!$D$2)/Indeks!H163*100</f>
        <v>0.15375686238450714</v>
      </c>
      <c r="E163" s="116">
        <f>(Indeks!E163/Indeks!$E$40*Indeks!$E$2)/Indeks!H163*100</f>
        <v>0.08294658393364085</v>
      </c>
      <c r="F163" s="116">
        <f>(Indeks!F163/Indeks!$F$40*Indeks!$F$2)/Indeks!H163*100</f>
        <v>0.08677098795698959</v>
      </c>
      <c r="G163" s="116">
        <f>(Indeks!G163/Indeks!$G$40*Indeks!$G$2)/Indeks!H163*100</f>
        <v>0.00868865176258027</v>
      </c>
      <c r="H163" s="116">
        <f t="shared" si="21"/>
        <v>0.9999999999999999</v>
      </c>
    </row>
    <row r="164" spans="1:8" ht="12.75" hidden="1">
      <c r="A164" s="32">
        <f t="shared" si="22"/>
        <v>2018</v>
      </c>
      <c r="B164" s="67" t="s">
        <v>12</v>
      </c>
      <c r="C164" s="116">
        <f>(Indeks!C164/Indeks!$C$40*Indeks!$C$2)/Indeks!H164*100</f>
        <v>0.6678343626806021</v>
      </c>
      <c r="D164" s="116">
        <f>(Indeks!D164/Indeks!$D$40*Indeks!$D$2)/Indeks!H164*100</f>
        <v>0.15545268324973469</v>
      </c>
      <c r="E164" s="116">
        <f>(Indeks!E164/Indeks!$E$40*Indeks!$E$2)/Indeks!H164*100</f>
        <v>0.0829462670597221</v>
      </c>
      <c r="F164" s="116">
        <f>(Indeks!F164/Indeks!$F$40*Indeks!$F$2)/Indeks!H164*100</f>
        <v>0.08677065647301903</v>
      </c>
      <c r="G164" s="116">
        <f>(Indeks!G164/Indeks!$G$40*Indeks!$G$2)/Indeks!H164*100</f>
        <v>0.006996030536922071</v>
      </c>
      <c r="H164" s="116">
        <f t="shared" si="21"/>
        <v>1</v>
      </c>
    </row>
    <row r="165" spans="1:8" ht="12.75" hidden="1">
      <c r="A165" s="16">
        <f t="shared" si="22"/>
        <v>2018</v>
      </c>
      <c r="B165" s="17" t="s">
        <v>13</v>
      </c>
      <c r="C165" s="117">
        <f>(Indeks!C165/Indeks!$C$40*Indeks!$C$2)/Indeks!H165*100</f>
        <v>0.6633937893118873</v>
      </c>
      <c r="D165" s="117">
        <f>(Indeks!D165/Indeks!$D$40*Indeks!$D$2)/Indeks!H165*100</f>
        <v>0.1590148500593881</v>
      </c>
      <c r="E165" s="117">
        <f>(Indeks!E165/Indeks!$E$40*Indeks!$E$2)/Indeks!H165*100</f>
        <v>0.08279982682290002</v>
      </c>
      <c r="F165" s="117">
        <f>(Indeks!F165/Indeks!$F$40*Indeks!$F$2)/Indeks!H165*100</f>
        <v>0.08627277662732522</v>
      </c>
      <c r="G165" s="117">
        <f>(Indeks!G165/Indeks!$G$40*Indeks!$G$2)/Indeks!H165*100</f>
        <v>0.008518757178499552</v>
      </c>
      <c r="H165" s="117">
        <f t="shared" si="21"/>
        <v>1.0000000000000002</v>
      </c>
    </row>
    <row r="166" spans="1:8" ht="12.75" hidden="1">
      <c r="A166" s="12">
        <f t="shared" si="22"/>
        <v>2018</v>
      </c>
      <c r="B166" s="13" t="s">
        <v>31</v>
      </c>
      <c r="C166" s="116">
        <f>(Indeks!C166/Indeks!$C$40*Indeks!$C$2)/Indeks!H166*100</f>
        <v>0.6585743673898758</v>
      </c>
      <c r="D166" s="116">
        <f>(Indeks!D166/Indeks!$D$40*Indeks!$D$2)/Indeks!H166*100</f>
        <v>0.16744797920579096</v>
      </c>
      <c r="E166" s="116">
        <f>(Indeks!E166/Indeks!$E$40*Indeks!$E$2)/Indeks!H166*100</f>
        <v>0.0819903881753929</v>
      </c>
      <c r="F166" s="116">
        <f>(Indeks!F166/Indeks!$F$40*Indeks!$F$2)/Indeks!H166*100</f>
        <v>0.08534068348280392</v>
      </c>
      <c r="G166" s="116">
        <f>(Indeks!G166/Indeks!$G$40*Indeks!$G$2)/Indeks!H166*100</f>
        <v>0.006646581746136342</v>
      </c>
      <c r="H166" s="116">
        <f t="shared" si="21"/>
        <v>1</v>
      </c>
    </row>
    <row r="167" spans="1:8" ht="12.75" hidden="1">
      <c r="A167" s="32">
        <f t="shared" si="22"/>
        <v>2018</v>
      </c>
      <c r="B167" s="33" t="s">
        <v>14</v>
      </c>
      <c r="C167" s="116">
        <f>(Indeks!C167/Indeks!$C$40*Indeks!$C$2)/Indeks!H167*100</f>
        <v>0.6599544709272553</v>
      </c>
      <c r="D167" s="116">
        <f>(Indeks!D167/Indeks!$D$40*Indeks!$D$2)/Indeks!H167*100</f>
        <v>0.16734373126903976</v>
      </c>
      <c r="E167" s="116">
        <f>(Indeks!E167/Indeks!$E$40*Indeks!$E$2)/Indeks!H167*100</f>
        <v>0.0820819700920529</v>
      </c>
      <c r="F167" s="116">
        <f>(Indeks!F167/Indeks!$F$40*Indeks!$F$2)/Indeks!H167*100</f>
        <v>0.08473637697021848</v>
      </c>
      <c r="G167" s="116">
        <f>(Indeks!G167/Indeks!$G$40*Indeks!$G$2)/Indeks!H167*100</f>
        <v>0.005883450741433572</v>
      </c>
      <c r="H167" s="116">
        <f t="shared" si="21"/>
        <v>1</v>
      </c>
    </row>
    <row r="168" spans="1:8" ht="12.75" hidden="1">
      <c r="A168" s="16">
        <f t="shared" si="22"/>
        <v>2018</v>
      </c>
      <c r="B168" s="17" t="s">
        <v>15</v>
      </c>
      <c r="C168" s="117">
        <f>(Indeks!C168/Indeks!$C$40*Indeks!$C$2)/Indeks!H168*100</f>
        <v>0.6583917244024464</v>
      </c>
      <c r="D168" s="117">
        <f>(Indeks!D168/Indeks!$D$40*Indeks!$D$2)/Indeks!H168*100</f>
        <v>0.16709882545231036</v>
      </c>
      <c r="E168" s="117">
        <f>(Indeks!E168/Indeks!$E$40*Indeks!$E$2)/Indeks!H168*100</f>
        <v>0.082527975442006</v>
      </c>
      <c r="F168" s="117">
        <f>(Indeks!F168/Indeks!$F$40*Indeks!$F$2)/Indeks!H168*100</f>
        <v>0.08500449933704973</v>
      </c>
      <c r="G168" s="117">
        <f>(Indeks!G168/Indeks!$G$40*Indeks!$G$2)/Indeks!H168*100</f>
        <v>0.006976975366187313</v>
      </c>
      <c r="H168" s="117">
        <f t="shared" si="21"/>
        <v>0.9999999999999999</v>
      </c>
    </row>
    <row r="169" spans="1:8" ht="12.75" hidden="1">
      <c r="A169" s="32">
        <f t="shared" si="22"/>
        <v>2018</v>
      </c>
      <c r="B169" s="33" t="s">
        <v>16</v>
      </c>
      <c r="C169" s="116">
        <f>(Indeks!C169/Indeks!$C$40*Indeks!$C$2)/Indeks!H169*100</f>
        <v>0.6605174495819849</v>
      </c>
      <c r="D169" s="116">
        <f>(Indeks!D169/Indeks!$D$40*Indeks!$D$2)/Indeks!H169*100</f>
        <v>0.16569892141119533</v>
      </c>
      <c r="E169" s="116">
        <f>(Indeks!E169/Indeks!$E$40*Indeks!$E$2)/Indeks!H169*100</f>
        <v>0.08174119983558886</v>
      </c>
      <c r="F169" s="116">
        <f>(Indeks!F169/Indeks!$F$40*Indeks!$F$2)/Indeks!H169*100</f>
        <v>0.08444435078722062</v>
      </c>
      <c r="G169" s="116">
        <f>(Indeks!G169/Indeks!$G$40*Indeks!$G$2)/Indeks!H169*100</f>
        <v>0.00759807838401035</v>
      </c>
      <c r="H169" s="116">
        <f t="shared" si="21"/>
        <v>1</v>
      </c>
    </row>
    <row r="170" spans="1:8" ht="12.75" hidden="1">
      <c r="A170" s="32">
        <f t="shared" si="22"/>
        <v>2018</v>
      </c>
      <c r="B170" s="67" t="s">
        <v>17</v>
      </c>
      <c r="C170" s="116">
        <f>(Indeks!C170/Indeks!$C$40*Indeks!$C$2)/Indeks!H170*100</f>
        <v>0.6600229474488707</v>
      </c>
      <c r="D170" s="116">
        <f>(Indeks!D170/Indeks!$D$40*Indeks!$D$2)/Indeks!H170*100</f>
        <v>0.16722911430839066</v>
      </c>
      <c r="E170" s="116">
        <f>(Indeks!E170/Indeks!$E$40*Indeks!$E$2)/Indeks!H170*100</f>
        <v>0.08144140570715049</v>
      </c>
      <c r="F170" s="116">
        <f>(Indeks!F170/Indeks!$F$40*Indeks!$F$2)/Indeks!H170*100</f>
        <v>0.08492452353617096</v>
      </c>
      <c r="G170" s="116">
        <f>(Indeks!G170/Indeks!$G$40*Indeks!$G$2)/Indeks!H170*100</f>
        <v>0.006382008999417229</v>
      </c>
      <c r="H170" s="116">
        <f t="shared" si="21"/>
        <v>1.0000000000000002</v>
      </c>
    </row>
    <row r="171" spans="1:8" ht="13.5" hidden="1" thickBot="1">
      <c r="A171" s="38">
        <f t="shared" si="22"/>
        <v>2018</v>
      </c>
      <c r="B171" s="39" t="s">
        <v>18</v>
      </c>
      <c r="C171" s="93">
        <f>(Indeks!C171/Indeks!$C$40*Indeks!$C$2)/Indeks!H171*100</f>
        <v>0.6548923639322152</v>
      </c>
      <c r="D171" s="93">
        <f>(Indeks!D171/Indeks!$D$40*Indeks!$D$2)/Indeks!H171*100</f>
        <v>0.17264394555673812</v>
      </c>
      <c r="E171" s="93">
        <f>(Indeks!E171/Indeks!$E$40*Indeks!$E$2)/Indeks!H171*100</f>
        <v>0.08104507704506891</v>
      </c>
      <c r="F171" s="93">
        <f>(Indeks!F171/Indeks!$F$40*Indeks!$F$2)/Indeks!H171*100</f>
        <v>0.0846494967949532</v>
      </c>
      <c r="G171" s="93">
        <f>(Indeks!G171/Indeks!$G$40*Indeks!$G$2)/Indeks!H171*100</f>
        <v>0.006769116671024718</v>
      </c>
      <c r="H171" s="93">
        <f t="shared" si="21"/>
        <v>1</v>
      </c>
    </row>
    <row r="172" spans="1:8" ht="12.75" hidden="1">
      <c r="A172" s="8">
        <v>2019</v>
      </c>
      <c r="B172" s="67" t="s">
        <v>8</v>
      </c>
      <c r="C172" s="116">
        <f>(Indeks!C172/Indeks!$C$40*Indeks!$C$2)/Indeks!H172*100</f>
        <v>0.6571493220051279</v>
      </c>
      <c r="D172" s="116">
        <f>(Indeks!D172/Indeks!$D$40*Indeks!$D$2)/Indeks!H172*100</f>
        <v>0.17068467898364612</v>
      </c>
      <c r="E172" s="116">
        <f>(Indeks!E172/Indeks!$E$40*Indeks!$E$2)/Indeks!H172*100</f>
        <v>0.08072856110614496</v>
      </c>
      <c r="F172" s="116">
        <f>(Indeks!F172/Indeks!$F$40*Indeks!$F$2)/Indeks!H172*100</f>
        <v>0.08456593208336527</v>
      </c>
      <c r="G172" s="116">
        <f>(Indeks!G172/Indeks!$G$40*Indeks!$G$2)/Indeks!H172*100</f>
        <v>0.006871505821715832</v>
      </c>
      <c r="H172" s="116">
        <f aca="true" t="shared" si="23" ref="H172:H183">SUM(C172:G172)</f>
        <v>1</v>
      </c>
    </row>
    <row r="173" spans="1:8" ht="12.75" hidden="1">
      <c r="A173" s="12">
        <f>A172</f>
        <v>2019</v>
      </c>
      <c r="B173" s="33" t="s">
        <v>9</v>
      </c>
      <c r="C173" s="116">
        <f>(Indeks!C173/Indeks!$C$40*Indeks!$C$2)/Indeks!H173*100</f>
        <v>0.6644411291151064</v>
      </c>
      <c r="D173" s="116">
        <f>(Indeks!D173/Indeks!$D$40*Indeks!$D$2)/Indeks!H173*100</f>
        <v>0.1618772350415811</v>
      </c>
      <c r="E173" s="116">
        <f>(Indeks!E173/Indeks!$E$40*Indeks!$E$2)/Indeks!H173*100</f>
        <v>0.08138520103738839</v>
      </c>
      <c r="F173" s="116">
        <f>(Indeks!F173/Indeks!$F$40*Indeks!$F$2)/Indeks!H173*100</f>
        <v>0.08534868193756419</v>
      </c>
      <c r="G173" s="116">
        <f>(Indeks!G173/Indeks!$G$40*Indeks!$G$2)/Indeks!H173*100</f>
        <v>0.006947752868359905</v>
      </c>
      <c r="H173" s="116">
        <f t="shared" si="23"/>
        <v>1</v>
      </c>
    </row>
    <row r="174" spans="1:8" ht="12.75" hidden="1">
      <c r="A174" s="16">
        <f aca="true" t="shared" si="24" ref="A174:A183">A173</f>
        <v>2019</v>
      </c>
      <c r="B174" s="17" t="s">
        <v>10</v>
      </c>
      <c r="C174" s="117">
        <f>(Indeks!C174/Indeks!$C$40*Indeks!$C$2)/Indeks!H174*100</f>
        <v>0.6661403137367172</v>
      </c>
      <c r="D174" s="117">
        <f>(Indeks!D174/Indeks!$D$40*Indeks!$D$2)/Indeks!H174*100</f>
        <v>0.15926902335945314</v>
      </c>
      <c r="E174" s="117">
        <f>(Indeks!E174/Indeks!$E$40*Indeks!$E$2)/Indeks!H174*100</f>
        <v>0.0817531587762741</v>
      </c>
      <c r="F174" s="117">
        <f>(Indeks!F174/Indeks!$F$40*Indeks!$F$2)/Indeks!H174*100</f>
        <v>0.08531916458963797</v>
      </c>
      <c r="G174" s="117">
        <f>(Indeks!G174/Indeks!$G$40*Indeks!$G$2)/Indeks!H174*100</f>
        <v>0.00751833953791772</v>
      </c>
      <c r="H174" s="117">
        <f t="shared" si="23"/>
        <v>1.0000000000000002</v>
      </c>
    </row>
    <row r="175" spans="1:8" ht="12.75" hidden="1">
      <c r="A175" s="32">
        <f t="shared" si="24"/>
        <v>2019</v>
      </c>
      <c r="B175" s="33" t="s">
        <v>11</v>
      </c>
      <c r="C175" s="116">
        <f>(Indeks!C175/Indeks!$C$40*Indeks!$C$2)/Indeks!H175*100</f>
        <v>0.6652385317589788</v>
      </c>
      <c r="D175" s="116">
        <f>(Indeks!D175/Indeks!$D$40*Indeks!$D$2)/Indeks!H175*100</f>
        <v>0.1619595441255881</v>
      </c>
      <c r="E175" s="116">
        <f>(Indeks!E175/Indeks!$E$40*Indeks!$E$2)/Indeks!H175*100</f>
        <v>0.08168063428822157</v>
      </c>
      <c r="F175" s="116">
        <f>(Indeks!F175/Indeks!$F$40*Indeks!$F$2)/Indeks!H175*100</f>
        <v>0.08507522512290525</v>
      </c>
      <c r="G175" s="116">
        <f>(Indeks!G175/Indeks!$G$40*Indeks!$G$2)/Indeks!H175*100</f>
        <v>0.006046064704306305</v>
      </c>
      <c r="H175" s="116">
        <f t="shared" si="23"/>
        <v>1</v>
      </c>
    </row>
    <row r="176" spans="1:8" ht="12.75" hidden="1">
      <c r="A176" s="32">
        <f t="shared" si="24"/>
        <v>2019</v>
      </c>
      <c r="B176" s="67" t="s">
        <v>12</v>
      </c>
      <c r="C176" s="116">
        <f>(Indeks!C176/Indeks!$C$40*Indeks!$C$2)/Indeks!H176*100</f>
        <v>0.6624442917519903</v>
      </c>
      <c r="D176" s="116">
        <f>(Indeks!D176/Indeks!$D$40*Indeks!$D$2)/Indeks!H176*100</f>
        <v>0.16531871794064373</v>
      </c>
      <c r="E176" s="116">
        <f>(Indeks!E176/Indeks!$E$40*Indeks!$E$2)/Indeks!H176*100</f>
        <v>0.0814166685071376</v>
      </c>
      <c r="F176" s="116">
        <f>(Indeks!F176/Indeks!$F$40*Indeks!$F$2)/Indeks!H176*100</f>
        <v>0.08479965273233676</v>
      </c>
      <c r="G176" s="116">
        <f>(Indeks!G176/Indeks!$G$40*Indeks!$G$2)/Indeks!H176*100</f>
        <v>0.006020669067891583</v>
      </c>
      <c r="H176" s="116">
        <f t="shared" si="23"/>
        <v>1</v>
      </c>
    </row>
    <row r="177" spans="1:8" ht="12.75" hidden="1">
      <c r="A177" s="16">
        <f t="shared" si="24"/>
        <v>2019</v>
      </c>
      <c r="B177" s="17" t="s">
        <v>13</v>
      </c>
      <c r="C177" s="117">
        <f>(Indeks!C177/Indeks!$C$40*Indeks!$C$2)/Indeks!H177*100</f>
        <v>0.6611696465043903</v>
      </c>
      <c r="D177" s="117">
        <f>(Indeks!D177/Indeks!$D$40*Indeks!$D$2)/Indeks!H177*100</f>
        <v>0.16559790647415845</v>
      </c>
      <c r="E177" s="117">
        <f>(Indeks!E177/Indeks!$E$40*Indeks!$E$2)/Indeks!H177*100</f>
        <v>0.08149691989876807</v>
      </c>
      <c r="F177" s="117">
        <f>(Indeks!F177/Indeks!$F$40*Indeks!$F$2)/Indeks!H177*100</f>
        <v>0.085289418435229</v>
      </c>
      <c r="G177" s="117">
        <f>(Indeks!G177/Indeks!$G$40*Indeks!$G$2)/Indeks!H177*100</f>
        <v>0.006446108687454137</v>
      </c>
      <c r="H177" s="117">
        <f t="shared" si="23"/>
        <v>0.9999999999999999</v>
      </c>
    </row>
    <row r="178" spans="1:8" ht="12.75" hidden="1">
      <c r="A178" s="12">
        <f t="shared" si="24"/>
        <v>2019</v>
      </c>
      <c r="B178" s="13" t="s">
        <v>31</v>
      </c>
      <c r="C178" s="116">
        <f>(Indeks!C178/Indeks!$C$40*Indeks!$C$2)/Indeks!H178*100</f>
        <v>0.6604579384843001</v>
      </c>
      <c r="D178" s="116">
        <f>(Indeks!D178/Indeks!$D$40*Indeks!$D$2)/Indeks!H178*100</f>
        <v>0.16696476734813043</v>
      </c>
      <c r="E178" s="116">
        <f>(Indeks!E178/Indeks!$E$40*Indeks!$E$2)/Indeks!H178*100</f>
        <v>0.08121123060290336</v>
      </c>
      <c r="F178" s="116">
        <f>(Indeks!F178/Indeks!$F$40*Indeks!$F$2)/Indeks!H178*100</f>
        <v>0.08515427884534513</v>
      </c>
      <c r="G178" s="116">
        <f>(Indeks!G178/Indeks!$G$40*Indeks!$G$2)/Indeks!H178*100</f>
        <v>0.006211784719320931</v>
      </c>
      <c r="H178" s="116">
        <f t="shared" si="23"/>
        <v>1</v>
      </c>
    </row>
    <row r="179" spans="1:8" ht="12.75" hidden="1">
      <c r="A179" s="32">
        <f t="shared" si="24"/>
        <v>2019</v>
      </c>
      <c r="B179" s="33" t="s">
        <v>14</v>
      </c>
      <c r="C179" s="116">
        <f>(Indeks!C179/Indeks!$C$40*Indeks!$C$2)/Indeks!H179*100</f>
        <v>0.6666179228853737</v>
      </c>
      <c r="D179" s="116">
        <f>(Indeks!D179/Indeks!$D$40*Indeks!$D$2)/Indeks!H179*100</f>
        <v>0.1610054274830405</v>
      </c>
      <c r="E179" s="116">
        <f>(Indeks!E179/Indeks!$E$40*Indeks!$E$2)/Indeks!H179*100</f>
        <v>0.0818096665212857</v>
      </c>
      <c r="F179" s="116">
        <f>(Indeks!F179/Indeks!$F$40*Indeks!$F$2)/Indeks!H179*100</f>
        <v>0.08627717398382768</v>
      </c>
      <c r="G179" s="116">
        <f>(Indeks!G179/Indeks!$G$40*Indeks!$G$2)/Indeks!H179*100</f>
        <v>0.004289809126472546</v>
      </c>
      <c r="H179" s="116">
        <f t="shared" si="23"/>
        <v>1.0000000000000002</v>
      </c>
    </row>
    <row r="180" spans="1:8" ht="12.75" hidden="1">
      <c r="A180" s="16">
        <f t="shared" si="24"/>
        <v>2019</v>
      </c>
      <c r="B180" s="17" t="s">
        <v>15</v>
      </c>
      <c r="C180" s="117">
        <f>(Indeks!C180/Indeks!$C$40*Indeks!$C$2)/Indeks!H180*100</f>
        <v>0.6661864296478105</v>
      </c>
      <c r="D180" s="117">
        <f>(Indeks!D180/Indeks!$D$40*Indeks!$D$2)/Indeks!H180*100</f>
        <v>0.16255379086232258</v>
      </c>
      <c r="E180" s="117">
        <f>(Indeks!E180/Indeks!$E$40*Indeks!$E$2)/Indeks!H180*100</f>
        <v>0.08223342769555887</v>
      </c>
      <c r="F180" s="117">
        <f>(Indeks!F180/Indeks!$F$40*Indeks!$F$2)/Indeks!H180*100</f>
        <v>0.08572863457276444</v>
      </c>
      <c r="G180" s="117">
        <f>(Indeks!G180/Indeks!$G$40*Indeks!$G$2)/Indeks!H180*100</f>
        <v>0.0032977172215436024</v>
      </c>
      <c r="H180" s="117">
        <f t="shared" si="23"/>
        <v>1</v>
      </c>
    </row>
    <row r="181" spans="1:8" ht="12.75" hidden="1">
      <c r="A181" s="32">
        <f t="shared" si="24"/>
        <v>2019</v>
      </c>
      <c r="B181" s="33" t="s">
        <v>16</v>
      </c>
      <c r="C181" s="116">
        <f>(Indeks!C181/Indeks!$C$40*Indeks!$C$2)/Indeks!H181*100</f>
        <v>0.6703654874565753</v>
      </c>
      <c r="D181" s="116">
        <f>(Indeks!D181/Indeks!$D$40*Indeks!$D$2)/Indeks!H181*100</f>
        <v>0.16035073916818357</v>
      </c>
      <c r="E181" s="116">
        <f>(Indeks!E181/Indeks!$E$40*Indeks!$E$2)/Indeks!H181*100</f>
        <v>0.08171166423652365</v>
      </c>
      <c r="F181" s="116">
        <f>(Indeks!F181/Indeks!$F$40*Indeks!$F$2)/Indeks!H181*100</f>
        <v>0.0852694545319814</v>
      </c>
      <c r="G181" s="116">
        <f>(Indeks!G181/Indeks!$G$40*Indeks!$G$2)/Indeks!H181*100</f>
        <v>0.0023026546067360103</v>
      </c>
      <c r="H181" s="116">
        <f t="shared" si="23"/>
        <v>1</v>
      </c>
    </row>
    <row r="182" spans="1:8" ht="12.75" hidden="1">
      <c r="A182" s="32">
        <f t="shared" si="24"/>
        <v>2019</v>
      </c>
      <c r="B182" s="67" t="s">
        <v>17</v>
      </c>
      <c r="C182" s="116">
        <f>(Indeks!C182/Indeks!$C$40*Indeks!$C$2)/Indeks!H182*100</f>
        <v>0.6668172352562494</v>
      </c>
      <c r="D182" s="116">
        <f>(Indeks!D182/Indeks!$D$40*Indeks!$D$2)/Indeks!H182*100</f>
        <v>0.1645702887479698</v>
      </c>
      <c r="E182" s="116">
        <f>(Indeks!E182/Indeks!$E$40*Indeks!$E$2)/Indeks!H182*100</f>
        <v>0.08112149292199924</v>
      </c>
      <c r="F182" s="116">
        <f>(Indeks!F182/Indeks!$F$40*Indeks!$F$2)/Indeks!H182*100</f>
        <v>0.08465516724673348</v>
      </c>
      <c r="G182" s="116">
        <f>(Indeks!G182/Indeks!$G$40*Indeks!$G$2)/Indeks!H182*100</f>
        <v>0.002835815827047993</v>
      </c>
      <c r="H182" s="116">
        <f t="shared" si="23"/>
        <v>0.9999999999999999</v>
      </c>
    </row>
    <row r="183" spans="1:8" ht="13.5" hidden="1" thickBot="1">
      <c r="A183" s="38">
        <f t="shared" si="24"/>
        <v>2019</v>
      </c>
      <c r="B183" s="39" t="s">
        <v>18</v>
      </c>
      <c r="C183" s="93">
        <f>(Indeks!C183/Indeks!$C$40*Indeks!$C$2)/Indeks!H183*100</f>
        <v>0.6666308397686959</v>
      </c>
      <c r="D183" s="93">
        <f>(Indeks!D183/Indeks!$D$40*Indeks!$D$2)/Indeks!H183*100</f>
        <v>0.16377915829023024</v>
      </c>
      <c r="E183" s="93">
        <f>(Indeks!E183/Indeks!$E$40*Indeks!$E$2)/Indeks!H183*100</f>
        <v>0.08141406995611433</v>
      </c>
      <c r="F183" s="93">
        <f>(Indeks!F183/Indeks!$F$40*Indeks!$F$2)/Indeks!H183*100</f>
        <v>0.08446859404419875</v>
      </c>
      <c r="G183" s="93">
        <f>(Indeks!G183/Indeks!$G$40*Indeks!$G$2)/Indeks!H183*100</f>
        <v>0.0037073379407609017</v>
      </c>
      <c r="H183" s="93">
        <f t="shared" si="23"/>
        <v>1</v>
      </c>
    </row>
    <row r="184" spans="1:8" ht="12.75" hidden="1">
      <c r="A184" s="8">
        <v>2020</v>
      </c>
      <c r="B184" s="67" t="s">
        <v>8</v>
      </c>
      <c r="C184" s="116">
        <f>(Indeks!C184/Indeks!$C$40*Indeks!$C$2)/Indeks!H184*100</f>
        <v>0.6697068840676044</v>
      </c>
      <c r="D184" s="116">
        <f>(Indeks!D184/Indeks!$D$40*Indeks!$D$2)/Indeks!H184*100</f>
        <v>0.1620966992367244</v>
      </c>
      <c r="E184" s="116">
        <f>(Indeks!E184/Indeks!$E$40*Indeks!$E$2)/Indeks!H184*100</f>
        <v>0.0811602094360507</v>
      </c>
      <c r="F184" s="116">
        <f>(Indeks!F184/Indeks!$F$40*Indeks!$F$2)/Indeks!H184*100</f>
        <v>0.08453127235722509</v>
      </c>
      <c r="G184" s="116">
        <f>(Indeks!G184/Indeks!$G$40*Indeks!$G$2)/Indeks!H184*100</f>
        <v>0.0025049349023953137</v>
      </c>
      <c r="H184" s="116">
        <f aca="true" t="shared" si="25" ref="H184:H195">SUM(C184:G184)</f>
        <v>1</v>
      </c>
    </row>
    <row r="185" spans="1:8" ht="12.75" hidden="1">
      <c r="A185" s="12">
        <f>A184</f>
        <v>2020</v>
      </c>
      <c r="B185" s="33" t="s">
        <v>9</v>
      </c>
      <c r="C185" s="116">
        <f>(Indeks!C185/Indeks!$C$40*Indeks!$C$2)/Indeks!H185*100</f>
        <v>0.6670260825165129</v>
      </c>
      <c r="D185" s="116">
        <f>(Indeks!D185/Indeks!$D$40*Indeks!$D$2)/Indeks!H185*100</f>
        <v>0.16411639389709878</v>
      </c>
      <c r="E185" s="116">
        <f>(Indeks!E185/Indeks!$E$40*Indeks!$E$2)/Indeks!H185*100</f>
        <v>0.08067851980975924</v>
      </c>
      <c r="F185" s="116">
        <f>(Indeks!F185/Indeks!$F$40*Indeks!$F$2)/Indeks!H185*100</f>
        <v>0.08427393073078537</v>
      </c>
      <c r="G185" s="116">
        <f>(Indeks!G185/Indeks!$G$40*Indeks!$G$2)/Indeks!H185*100</f>
        <v>0.0039050730458435744</v>
      </c>
      <c r="H185" s="116">
        <f t="shared" si="25"/>
        <v>0.9999999999999998</v>
      </c>
    </row>
    <row r="186" spans="1:8" ht="12.75" hidden="1">
      <c r="A186" s="16">
        <f aca="true" t="shared" si="26" ref="A186:A195">A185</f>
        <v>2020</v>
      </c>
      <c r="B186" s="17" t="s">
        <v>10</v>
      </c>
      <c r="C186" s="117">
        <f>(Indeks!C186/Indeks!$C$40*Indeks!$C$2)/Indeks!H186*100</f>
        <v>0.6631596910660966</v>
      </c>
      <c r="D186" s="117">
        <f>(Indeks!D186/Indeks!$D$40*Indeks!$D$2)/Indeks!H186*100</f>
        <v>0.16891346336573826</v>
      </c>
      <c r="E186" s="117">
        <f>(Indeks!E186/Indeks!$E$40*Indeks!$E$2)/Indeks!H186*100</f>
        <v>0.08028882013295749</v>
      </c>
      <c r="F186" s="117">
        <f>(Indeks!F186/Indeks!$F$40*Indeks!$F$2)/Indeks!H186*100</f>
        <v>0.08451050638818629</v>
      </c>
      <c r="G186" s="117">
        <f>(Indeks!G186/Indeks!$G$40*Indeks!$G$2)/Indeks!H186*100</f>
        <v>0.003127519047021241</v>
      </c>
      <c r="H186" s="117">
        <f t="shared" si="25"/>
        <v>0.9999999999999999</v>
      </c>
    </row>
    <row r="187" spans="1:8" ht="12.75" hidden="1">
      <c r="A187" s="32">
        <f t="shared" si="26"/>
        <v>2020</v>
      </c>
      <c r="B187" s="33" t="s">
        <v>11</v>
      </c>
      <c r="C187" s="116">
        <f>(Indeks!C187/Indeks!$C$40*Indeks!$C$2)/Indeks!H187*100</f>
        <v>0.671544283528188</v>
      </c>
      <c r="D187" s="116">
        <f>(Indeks!D187/Indeks!$D$40*Indeks!$D$2)/Indeks!H187*100</f>
        <v>0.16065190287713457</v>
      </c>
      <c r="E187" s="116">
        <f>(Indeks!E187/Indeks!$E$40*Indeks!$E$2)/Indeks!H187*100</f>
        <v>0.08142506943547148</v>
      </c>
      <c r="F187" s="116">
        <f>(Indeks!F187/Indeks!$F$40*Indeks!$F$2)/Indeks!H187*100</f>
        <v>0.08529136126594768</v>
      </c>
      <c r="G187" s="116">
        <f>(Indeks!G187/Indeks!$G$40*Indeks!$G$2)/Indeks!H187*100</f>
        <v>0.0010873828932584807</v>
      </c>
      <c r="H187" s="116">
        <f t="shared" si="25"/>
        <v>1.0000000000000002</v>
      </c>
    </row>
    <row r="188" spans="1:8" ht="12.75" hidden="1">
      <c r="A188" s="32">
        <f t="shared" si="26"/>
        <v>2020</v>
      </c>
      <c r="B188" s="67" t="s">
        <v>12</v>
      </c>
      <c r="C188" s="116">
        <f>(Indeks!C188/Indeks!$C$40*Indeks!$C$2)/Indeks!H188*100</f>
        <v>0.6762562383579652</v>
      </c>
      <c r="D188" s="116">
        <f>(Indeks!D188/Indeks!$D$40*Indeks!$D$2)/Indeks!H188*100</f>
        <v>0.1510038339894299</v>
      </c>
      <c r="E188" s="116">
        <f>(Indeks!E188/Indeks!$E$40*Indeks!$E$2)/Indeks!H188*100</f>
        <v>0.08175895493752885</v>
      </c>
      <c r="F188" s="116">
        <f>(Indeks!F188/Indeks!$F$40*Indeks!$F$2)/Indeks!H188*100</f>
        <v>0.08605341592710272</v>
      </c>
      <c r="G188" s="116">
        <f>(Indeks!G188/Indeks!$G$40*Indeks!$G$2)/Indeks!H188*100</f>
        <v>0.004927556787973337</v>
      </c>
      <c r="H188" s="116">
        <f t="shared" si="25"/>
        <v>0.9999999999999999</v>
      </c>
    </row>
    <row r="189" spans="1:8" ht="12.75" hidden="1">
      <c r="A189" s="16">
        <f t="shared" si="26"/>
        <v>2020</v>
      </c>
      <c r="B189" s="17" t="s">
        <v>13</v>
      </c>
      <c r="C189" s="117">
        <f>(Indeks!C189/Indeks!$C$40*Indeks!$C$2)/Indeks!H189*100</f>
        <v>0.6856811598145868</v>
      </c>
      <c r="D189" s="117">
        <f>(Indeks!D189/Indeks!$D$40*Indeks!$D$2)/Indeks!H189*100</f>
        <v>0.14036197580803222</v>
      </c>
      <c r="E189" s="117">
        <f>(Indeks!E189/Indeks!$E$40*Indeks!$E$2)/Indeks!H189*100</f>
        <v>0.08281817186195059</v>
      </c>
      <c r="F189" s="117">
        <f>(Indeks!F189/Indeks!$F$40*Indeks!$F$2)/Indeks!H189*100</f>
        <v>0.08725273452881538</v>
      </c>
      <c r="G189" s="117">
        <f>(Indeks!G189/Indeks!$G$40*Indeks!$G$2)/Indeks!H189*100</f>
        <v>0.0038859579866150685</v>
      </c>
      <c r="H189" s="117">
        <f t="shared" si="25"/>
        <v>1</v>
      </c>
    </row>
    <row r="190" spans="1:8" ht="12.75" hidden="1">
      <c r="A190" s="12">
        <f t="shared" si="26"/>
        <v>2020</v>
      </c>
      <c r="B190" s="13" t="s">
        <v>31</v>
      </c>
      <c r="C190" s="116">
        <f>(Indeks!C190/Indeks!$C$40*Indeks!$C$2)/Indeks!H190*100</f>
        <v>0.6921325009353213</v>
      </c>
      <c r="D190" s="116">
        <f>(Indeks!D190/Indeks!$D$40*Indeks!$D$2)/Indeks!H190*100</f>
        <v>0.13436394267362606</v>
      </c>
      <c r="E190" s="116">
        <f>(Indeks!E190/Indeks!$E$40*Indeks!$E$2)/Indeks!H190*100</f>
        <v>0.0831579353198798</v>
      </c>
      <c r="F190" s="116">
        <f>(Indeks!F190/Indeks!$F$40*Indeks!$F$2)/Indeks!H190*100</f>
        <v>0.08777902820452892</v>
      </c>
      <c r="G190" s="116">
        <f>(Indeks!G190/Indeks!$G$40*Indeks!$G$2)/Indeks!H190*100</f>
        <v>0.002566592866643977</v>
      </c>
      <c r="H190" s="116">
        <f t="shared" si="25"/>
        <v>1</v>
      </c>
    </row>
    <row r="191" spans="1:8" ht="12.75" hidden="1">
      <c r="A191" s="32">
        <f t="shared" si="26"/>
        <v>2020</v>
      </c>
      <c r="B191" s="33" t="s">
        <v>14</v>
      </c>
      <c r="C191" s="116">
        <f>(Indeks!C191/Indeks!$C$40*Indeks!$C$2)/Indeks!H191*100</f>
        <v>0.6874261342552394</v>
      </c>
      <c r="D191" s="116">
        <f>(Indeks!D191/Indeks!$D$40*Indeks!$D$2)/Indeks!H191*100</f>
        <v>0.14011523484079122</v>
      </c>
      <c r="E191" s="116">
        <f>(Indeks!E191/Indeks!$E$40*Indeks!$E$2)/Indeks!H191*100</f>
        <v>0.08267258659419761</v>
      </c>
      <c r="F191" s="116">
        <f>(Indeks!F191/Indeks!$F$40*Indeks!$F$2)/Indeks!H191*100</f>
        <v>0.08734773597360557</v>
      </c>
      <c r="G191" s="116">
        <f>(Indeks!G191/Indeks!$G$40*Indeks!$G$2)/Indeks!H191*100</f>
        <v>0.002438308336166299</v>
      </c>
      <c r="H191" s="116">
        <f t="shared" si="25"/>
        <v>1</v>
      </c>
    </row>
    <row r="192" spans="1:8" ht="12.75" hidden="1">
      <c r="A192" s="63">
        <f t="shared" si="26"/>
        <v>2020</v>
      </c>
      <c r="B192" s="64" t="s">
        <v>15</v>
      </c>
      <c r="C192" s="117">
        <f>(Indeks!C192/Indeks!$C$40*Indeks!$C$2)/Indeks!H192*100</f>
        <v>0.6839383702575328</v>
      </c>
      <c r="D192" s="117">
        <f>(Indeks!D192/Indeks!$D$40*Indeks!$D$2)/Indeks!H192*100</f>
        <v>0.14422697485208777</v>
      </c>
      <c r="E192" s="117">
        <f>(Indeks!E192/Indeks!$E$40*Indeks!$E$2)/Indeks!H192*100</f>
        <v>0.08289075549316895</v>
      </c>
      <c r="F192" s="117">
        <f>(Indeks!F192/Indeks!$F$40*Indeks!$F$2)/Indeks!H192*100</f>
        <v>0.08706931156277928</v>
      </c>
      <c r="G192" s="117">
        <f>(Indeks!G192/Indeks!$G$40*Indeks!$G$2)/Indeks!H192*100</f>
        <v>0.00187458783443128</v>
      </c>
      <c r="H192" s="117">
        <f t="shared" si="25"/>
        <v>1</v>
      </c>
    </row>
    <row r="193" spans="1:8" ht="12.75" hidden="1">
      <c r="A193" s="32">
        <f t="shared" si="26"/>
        <v>2020</v>
      </c>
      <c r="B193" s="67" t="s">
        <v>16</v>
      </c>
      <c r="C193" s="116">
        <f>(Indeks!C193/Indeks!$C$40*Indeks!$C$2)/Indeks!H193*100</f>
        <v>0.6842281085510118</v>
      </c>
      <c r="D193" s="116">
        <f>(Indeks!D193/Indeks!$D$40*Indeks!$D$2)/Indeks!H193*100</f>
        <v>0.14387641048857477</v>
      </c>
      <c r="E193" s="116">
        <f>(Indeks!E193/Indeks!$E$40*Indeks!$E$2)/Indeks!H193*100</f>
        <v>0.08237124193136362</v>
      </c>
      <c r="F193" s="116">
        <f>(Indeks!F193/Indeks!$F$40*Indeks!$F$2)/Indeks!H193*100</f>
        <v>0.08710419842010772</v>
      </c>
      <c r="G193" s="116">
        <f>(Indeks!G193/Indeks!$G$40*Indeks!$G$2)/Indeks!H193*100</f>
        <v>0.0024200406089420236</v>
      </c>
      <c r="H193" s="116">
        <f t="shared" si="25"/>
        <v>1</v>
      </c>
    </row>
    <row r="194" spans="1:8" ht="12.75" hidden="1">
      <c r="A194" s="32">
        <f t="shared" si="26"/>
        <v>2020</v>
      </c>
      <c r="B194" s="67" t="s">
        <v>17</v>
      </c>
      <c r="C194" s="116">
        <f>(Indeks!C194/Indeks!$C$40*Indeks!$C$2)/Indeks!H194*100</f>
        <v>0.6871410363535888</v>
      </c>
      <c r="D194" s="116">
        <f>(Indeks!D194/Indeks!$D$40*Indeks!$D$2)/Indeks!H194*100</f>
        <v>0.14116734330255873</v>
      </c>
      <c r="E194" s="116">
        <f>(Indeks!E194/Indeks!$E$40*Indeks!$E$2)/Indeks!H194*100</f>
        <v>0.08264206921281043</v>
      </c>
      <c r="F194" s="116">
        <f>(Indeks!F194/Indeks!$F$40*Indeks!$F$2)/Indeks!H194*100</f>
        <v>0.08739249886832928</v>
      </c>
      <c r="G194" s="116">
        <f>(Indeks!G194/Indeks!$G$40*Indeks!$G$2)/Indeks!H194*100</f>
        <v>0.0016570522627126344</v>
      </c>
      <c r="H194" s="116">
        <f t="shared" si="25"/>
        <v>1</v>
      </c>
    </row>
    <row r="195" spans="1:8" ht="13.5" hidden="1" thickBot="1">
      <c r="A195" s="38">
        <f t="shared" si="26"/>
        <v>2020</v>
      </c>
      <c r="B195" s="39" t="s">
        <v>18</v>
      </c>
      <c r="C195" s="93">
        <f>(Indeks!C195/Indeks!$C$40*Indeks!$C$2)/Indeks!H195*100</f>
        <v>0.6878843681090036</v>
      </c>
      <c r="D195" s="93">
        <f>(Indeks!D195/Indeks!$D$40*Indeks!$D$2)/Indeks!H195*100</f>
        <v>0.14101776566946975</v>
      </c>
      <c r="E195" s="93">
        <f>(Indeks!E195/Indeks!$E$40*Indeks!$E$2)/Indeks!H195*100</f>
        <v>0.08289133688200918</v>
      </c>
      <c r="F195" s="93">
        <f>(Indeks!F195/Indeks!$F$40*Indeks!$F$2)/Indeks!H195*100</f>
        <v>0.0873218121022657</v>
      </c>
      <c r="G195" s="93">
        <f>(Indeks!G195/Indeks!$G$40*Indeks!$G$2)/Indeks!H195*100</f>
        <v>0.000884717237251908</v>
      </c>
      <c r="H195" s="93">
        <f t="shared" si="25"/>
        <v>1.0000000000000002</v>
      </c>
    </row>
    <row r="196" spans="1:8" ht="12.75">
      <c r="A196" s="8">
        <v>2021</v>
      </c>
      <c r="B196" s="67" t="s">
        <v>8</v>
      </c>
      <c r="C196" s="116">
        <f>(Indeks!C196/Indeks!$C$40*Indeks!$C$2)/Indeks!H196*100</f>
        <v>0.688195062952958</v>
      </c>
      <c r="D196" s="116">
        <f>(Indeks!D196/Indeks!$D$40*Indeks!$D$2)/Indeks!H196*100</f>
        <v>0.1405817061309001</v>
      </c>
      <c r="E196" s="116">
        <f>(Indeks!E196/Indeks!$E$40*Indeks!$E$2)/Indeks!H196*100</f>
        <v>0.08237874214512708</v>
      </c>
      <c r="F196" s="116">
        <f>(Indeks!F196/Indeks!$F$40*Indeks!$F$2)/Indeks!H196*100</f>
        <v>0.08719431084182513</v>
      </c>
      <c r="G196" s="116">
        <f>(Indeks!G196/Indeks!$G$40*Indeks!$G$2)/Indeks!H196*100</f>
        <v>0.0016501779291895782</v>
      </c>
      <c r="H196" s="116">
        <f aca="true" t="shared" si="27" ref="H196:H207">SUM(C196:G196)</f>
        <v>0.9999999999999999</v>
      </c>
    </row>
    <row r="197" spans="1:8" ht="12.75">
      <c r="A197" s="12">
        <f>A196</f>
        <v>2021</v>
      </c>
      <c r="B197" s="33" t="s">
        <v>9</v>
      </c>
      <c r="C197" s="116">
        <f>(Indeks!C197/Indeks!$C$40*Indeks!$C$2)/Indeks!H197*100</f>
        <v>0.684429110053259</v>
      </c>
      <c r="D197" s="116">
        <f>(Indeks!D197/Indeks!$D$40*Indeks!$D$2)/Indeks!H197*100</f>
        <v>0.1474385440830916</v>
      </c>
      <c r="E197" s="116">
        <f>(Indeks!E197/Indeks!$E$40*Indeks!$E$2)/Indeks!H197*100</f>
        <v>0.08176978570941401</v>
      </c>
      <c r="F197" s="116">
        <f>(Indeks!F197/Indeks!$F$40*Indeks!$F$2)/Indeks!H197*100</f>
        <v>0.08647197000737199</v>
      </c>
      <c r="G197" s="116">
        <f>(Indeks!G197/Indeks!$G$40*Indeks!$G$2)/Indeks!H197*100</f>
        <v>-0.00010940985313655233</v>
      </c>
      <c r="H197" s="116">
        <f t="shared" si="27"/>
        <v>0.9999999999999999</v>
      </c>
    </row>
    <row r="198" spans="1:8" ht="12.75">
      <c r="A198" s="16">
        <f aca="true" t="shared" si="28" ref="A198:A207">A197</f>
        <v>2021</v>
      </c>
      <c r="B198" s="17" t="s">
        <v>10</v>
      </c>
      <c r="C198" s="117">
        <f>(Indeks!C198/Indeks!$C$40*Indeks!$C$2)/Indeks!H198*100</f>
        <v>0.6803551024506146</v>
      </c>
      <c r="D198" s="117">
        <f>(Indeks!D198/Indeks!$D$40*Indeks!$D$2)/Indeks!H198*100</f>
        <v>0.14983105049201112</v>
      </c>
      <c r="E198" s="117">
        <f>(Indeks!E198/Indeks!$E$40*Indeks!$E$2)/Indeks!H198*100</f>
        <v>0.08144027844578103</v>
      </c>
      <c r="F198" s="117">
        <f>(Indeks!F198/Indeks!$F$40*Indeks!$F$2)/Indeks!H198*100</f>
        <v>0.08685094821095536</v>
      </c>
      <c r="G198" s="117">
        <f>(Indeks!G198/Indeks!$G$40*Indeks!$G$2)/Indeks!H198*100</f>
        <v>0.0015226204006379381</v>
      </c>
      <c r="H198" s="117">
        <f t="shared" si="27"/>
        <v>1.0000000000000002</v>
      </c>
    </row>
    <row r="199" spans="1:8" ht="12.75">
      <c r="A199" s="32">
        <f t="shared" si="28"/>
        <v>2021</v>
      </c>
      <c r="B199" s="33" t="s">
        <v>11</v>
      </c>
      <c r="C199" s="116">
        <f>(Indeks!C199/Indeks!$C$40*Indeks!$C$2)/Indeks!H199*100</f>
        <v>0.6751569247948617</v>
      </c>
      <c r="D199" s="116">
        <f>(Indeks!D199/Indeks!$D$40*Indeks!$D$2)/Indeks!H199*100</f>
        <v>0.15437214824410037</v>
      </c>
      <c r="E199" s="116">
        <f>(Indeks!E199/Indeks!$E$40*Indeks!$E$2)/Indeks!H199*100</f>
        <v>0.08094166856850105</v>
      </c>
      <c r="F199" s="116">
        <f>(Indeks!F199/Indeks!$F$40*Indeks!$F$2)/Indeks!H199*100</f>
        <v>0.08598273778255315</v>
      </c>
      <c r="G199" s="116">
        <f>(Indeks!G199/Indeks!$G$40*Indeks!$G$2)/Indeks!H199*100</f>
        <v>0.0035465206099837385</v>
      </c>
      <c r="H199" s="116">
        <f t="shared" si="27"/>
        <v>1</v>
      </c>
    </row>
    <row r="200" spans="1:8" ht="12.75">
      <c r="A200" s="32">
        <f t="shared" si="28"/>
        <v>2021</v>
      </c>
      <c r="B200" s="67" t="s">
        <v>12</v>
      </c>
      <c r="C200" s="116">
        <f>(Indeks!C200/Indeks!$C$40*Indeks!$C$2)/Indeks!H200*100</f>
        <v>0.6703464161224298</v>
      </c>
      <c r="D200" s="116">
        <f>(Indeks!D200/Indeks!$D$40*Indeks!$D$2)/Indeks!H200*100</f>
        <v>0.1586681260892359</v>
      </c>
      <c r="E200" s="116">
        <f>(Indeks!E200/Indeks!$E$40*Indeks!$E$2)/Indeks!H200*100</f>
        <v>0.0804420829905413</v>
      </c>
      <c r="F200" s="116">
        <f>(Indeks!F200/Indeks!$F$40*Indeks!$F$2)/Indeks!H200*100</f>
        <v>0.08584837270608565</v>
      </c>
      <c r="G200" s="116">
        <f>(Indeks!G200/Indeks!$G$40*Indeks!$G$2)/Indeks!H200*100</f>
        <v>0.004695002091707348</v>
      </c>
      <c r="H200" s="116">
        <f t="shared" si="27"/>
        <v>1</v>
      </c>
    </row>
    <row r="201" spans="1:8" ht="12.75">
      <c r="A201" s="16">
        <f t="shared" si="28"/>
        <v>2021</v>
      </c>
      <c r="B201" s="17" t="s">
        <v>13</v>
      </c>
      <c r="C201" s="117">
        <f>(Indeks!C201/Indeks!$C$40*Indeks!$C$2)/Indeks!H201*100</f>
        <v>0.6723961596440452</v>
      </c>
      <c r="D201" s="117">
        <f>(Indeks!D201/Indeks!$D$40*Indeks!$D$2)/Indeks!H201*100</f>
        <v>0.15608139902633833</v>
      </c>
      <c r="E201" s="117">
        <f>(Indeks!E201/Indeks!$E$40*Indeks!$E$2)/Indeks!H201*100</f>
        <v>0.08099749981752241</v>
      </c>
      <c r="F201" s="117">
        <f>(Indeks!F201/Indeks!$F$40*Indeks!$F$2)/Indeks!H201*100</f>
        <v>0.08635073767365935</v>
      </c>
      <c r="G201" s="117">
        <f>(Indeks!G201/Indeks!$G$40*Indeks!$G$2)/Indeks!H201*100</f>
        <v>0.004174203838434768</v>
      </c>
      <c r="H201" s="117">
        <f t="shared" si="27"/>
        <v>1</v>
      </c>
    </row>
    <row r="202" spans="1:8" ht="12.75">
      <c r="A202" s="12">
        <f t="shared" si="28"/>
        <v>2021</v>
      </c>
      <c r="B202" s="13" t="s">
        <v>31</v>
      </c>
      <c r="C202" s="116">
        <f>(Indeks!C202/Indeks!$C$40*Indeks!$C$2)/Indeks!H202*100</f>
        <v>0.6709420997563591</v>
      </c>
      <c r="D202" s="116">
        <f>(Indeks!D202/Indeks!$D$40*Indeks!$D$2)/Indeks!H202*100</f>
        <v>0.15784039407238307</v>
      </c>
      <c r="E202" s="116">
        <f>(Indeks!E202/Indeks!$E$40*Indeks!$E$2)/Indeks!H202*100</f>
        <v>0.08040887150608991</v>
      </c>
      <c r="F202" s="116">
        <f>(Indeks!F202/Indeks!$F$40*Indeks!$F$2)/Indeks!H202*100</f>
        <v>0.08571821215781077</v>
      </c>
      <c r="G202" s="116">
        <f>(Indeks!G202/Indeks!$G$40*Indeks!$G$2)/Indeks!H202*100</f>
        <v>0.005090422507357254</v>
      </c>
      <c r="H202" s="116">
        <f t="shared" si="27"/>
        <v>1</v>
      </c>
    </row>
    <row r="203" spans="1:8" ht="12.75">
      <c r="A203" s="32">
        <f t="shared" si="28"/>
        <v>2021</v>
      </c>
      <c r="B203" s="33" t="s">
        <v>14</v>
      </c>
      <c r="C203" s="116">
        <f>(Indeks!C203/Indeks!$C$40*Indeks!$C$2)/Indeks!H203*100</f>
        <v>0.6685938695278975</v>
      </c>
      <c r="D203" s="116">
        <f>(Indeks!D203/Indeks!$D$40*Indeks!$D$2)/Indeks!H203*100</f>
        <v>0.16118767018133304</v>
      </c>
      <c r="E203" s="116">
        <f>(Indeks!E203/Indeks!$E$40*Indeks!$E$2)/Indeks!H203*100</f>
        <v>0.08020383310283379</v>
      </c>
      <c r="F203" s="116">
        <f>(Indeks!F203/Indeks!$F$40*Indeks!$F$2)/Indeks!H203*100</f>
        <v>0.08557609646733916</v>
      </c>
      <c r="G203" s="116">
        <f>(Indeks!G203/Indeks!$G$40*Indeks!$G$2)/Indeks!H203*100</f>
        <v>0.004438530720596547</v>
      </c>
      <c r="H203" s="116">
        <f t="shared" si="27"/>
        <v>1</v>
      </c>
    </row>
    <row r="204" spans="1:8" ht="12.75">
      <c r="A204" s="63">
        <f t="shared" si="28"/>
        <v>2021</v>
      </c>
      <c r="B204" s="64" t="s">
        <v>15</v>
      </c>
      <c r="C204" s="117">
        <f>(Indeks!C204/Indeks!$C$40*Indeks!$C$2)/Indeks!H204*100</f>
        <v>0.6663235661709603</v>
      </c>
      <c r="D204" s="117">
        <f>(Indeks!D204/Indeks!$D$40*Indeks!$D$2)/Indeks!H204*100</f>
        <v>0.16395102296587596</v>
      </c>
      <c r="E204" s="117">
        <f>(Indeks!E204/Indeks!$E$40*Indeks!$E$2)/Indeks!H204*100</f>
        <v>0.08046436644556618</v>
      </c>
      <c r="F204" s="117">
        <f>(Indeks!F204/Indeks!$F$40*Indeks!$F$2)/Indeks!H204*100</f>
        <v>0.08536418761520348</v>
      </c>
      <c r="G204" s="117">
        <f>(Indeks!G204/Indeks!$G$40*Indeks!$G$2)/Indeks!H204*100</f>
        <v>0.0038968568023940854</v>
      </c>
      <c r="H204" s="117">
        <f t="shared" si="27"/>
        <v>1</v>
      </c>
    </row>
    <row r="205" spans="1:8" ht="12.75">
      <c r="A205" s="32">
        <f t="shared" si="28"/>
        <v>2021</v>
      </c>
      <c r="B205" s="67" t="s">
        <v>16</v>
      </c>
      <c r="C205" s="116">
        <f>(Indeks!C205/Indeks!$C$40*Indeks!$C$2)/Indeks!H205*100</f>
        <v>0.6688151972697283</v>
      </c>
      <c r="D205" s="116">
        <f>(Indeks!D205/Indeks!$D$40*Indeks!$D$2)/Indeks!H205*100</f>
        <v>0.16227916798048622</v>
      </c>
      <c r="E205" s="116">
        <f>(Indeks!E205/Indeks!$E$40*Indeks!$E$2)/Indeks!H205*100</f>
        <v>0.07977330268331449</v>
      </c>
      <c r="F205" s="116">
        <f>(Indeks!F205/Indeks!$F$40*Indeks!$F$2)/Indeks!H205*100</f>
        <v>0.08494777766307801</v>
      </c>
      <c r="G205" s="116">
        <f>(Indeks!G205/Indeks!$G$40*Indeks!$G$2)/Indeks!H205*100</f>
        <v>0.00418455440339309</v>
      </c>
      <c r="H205" s="116">
        <f t="shared" si="27"/>
        <v>1.0000000000000002</v>
      </c>
    </row>
    <row r="206" spans="1:8" ht="12.75">
      <c r="A206" s="32">
        <f t="shared" si="28"/>
        <v>2021</v>
      </c>
      <c r="B206" s="67" t="s">
        <v>17</v>
      </c>
      <c r="C206" s="116">
        <f>(Indeks!C206/Indeks!$C$40*Indeks!$C$2)/Indeks!H206*100</f>
        <v>0.6653406761314576</v>
      </c>
      <c r="D206" s="116">
        <f>(Indeks!D206/Indeks!$D$40*Indeks!$D$2)/Indeks!H206*100</f>
        <v>0.1654186864567032</v>
      </c>
      <c r="E206" s="116">
        <f>(Indeks!E206/Indeks!$E$40*Indeks!$E$2)/Indeks!H206*100</f>
        <v>0.07958454230603008</v>
      </c>
      <c r="F206" s="116">
        <f>(Indeks!F206/Indeks!$F$40*Indeks!$F$2)/Indeks!H206*100</f>
        <v>0.08497292769146715</v>
      </c>
      <c r="G206" s="116">
        <f>(Indeks!G206/Indeks!$G$40*Indeks!$G$2)/Indeks!H206*100</f>
        <v>0.004683167414341883</v>
      </c>
      <c r="H206" s="116">
        <f t="shared" si="27"/>
        <v>1</v>
      </c>
    </row>
    <row r="207" spans="1:8" ht="13.5" thickBot="1">
      <c r="A207" s="38">
        <f t="shared" si="28"/>
        <v>2021</v>
      </c>
      <c r="B207" s="39" t="s">
        <v>18</v>
      </c>
      <c r="C207" s="93">
        <f>(Indeks!C207/Indeks!$C$40*Indeks!$C$2)/Indeks!H207*100</f>
        <v>0.654454437668142</v>
      </c>
      <c r="D207" s="93">
        <f>(Indeks!D207/Indeks!$D$40*Indeks!$D$2)/Indeks!H207*100</f>
        <v>0.17754228987138507</v>
      </c>
      <c r="E207" s="93">
        <f>(Indeks!E207/Indeks!$E$40*Indeks!$E$2)/Indeks!H207*100</f>
        <v>0.07902229702927402</v>
      </c>
      <c r="F207" s="93">
        <f>(Indeks!F207/Indeks!$F$40*Indeks!$F$2)/Indeks!H207*100</f>
        <v>0.08396496314944081</v>
      </c>
      <c r="G207" s="93">
        <f>(Indeks!G207/Indeks!$G$40*Indeks!$G$2)/Indeks!H207*100</f>
        <v>0.005016012281757999</v>
      </c>
      <c r="H207" s="93">
        <f t="shared" si="27"/>
        <v>0.9999999999999999</v>
      </c>
    </row>
    <row r="208" spans="1:27" ht="12.75">
      <c r="A208" s="8">
        <v>2022</v>
      </c>
      <c r="B208" s="67" t="s">
        <v>8</v>
      </c>
      <c r="C208" s="116">
        <f>(Indeks!C208/Indeks!$C$40*Indeks!$C$2)/Indeks!H208*100</f>
        <v>0.6552561298259455</v>
      </c>
      <c r="D208" s="116">
        <f>(Indeks!D208/Indeks!$D$40*Indeks!$D$2)/Indeks!H208*100</f>
        <v>0.17803210200321337</v>
      </c>
      <c r="E208" s="116">
        <f>(Indeks!E208/Indeks!$E$40*Indeks!$E$2)/Indeks!H208*100</f>
        <v>0.07890329480684875</v>
      </c>
      <c r="F208" s="116">
        <f>(Indeks!F208/Indeks!$F$40*Indeks!$F$2)/Indeks!H208*100</f>
        <v>0.08352753403962926</v>
      </c>
      <c r="G208" s="116">
        <f>(Indeks!G208/Indeks!$G$40*Indeks!$G$2)/Indeks!H208*100</f>
        <v>0.004280939324363303</v>
      </c>
      <c r="H208" s="116">
        <f aca="true" t="shared" si="29" ref="H208:H219">SUM(C208:G208)</f>
        <v>1.0000000000000002</v>
      </c>
      <c r="W208" s="67"/>
      <c r="X208" s="67"/>
      <c r="Y208" s="67"/>
      <c r="Z208" s="67"/>
      <c r="AA208" s="67"/>
    </row>
    <row r="209" spans="1:27" ht="12.75">
      <c r="A209" s="12">
        <f>A208</f>
        <v>2022</v>
      </c>
      <c r="B209" s="13" t="s">
        <v>9</v>
      </c>
      <c r="C209" s="116">
        <f>(Indeks!C209/Indeks!$C$40*Indeks!$C$2)/Indeks!H209*100</f>
        <v>0.6583361634732549</v>
      </c>
      <c r="D209" s="116">
        <f>(Indeks!D209/Indeks!$D$40*Indeks!$D$2)/Indeks!H209*100</f>
        <v>0.1728506603960211</v>
      </c>
      <c r="E209" s="116">
        <f>(Indeks!E209/Indeks!$E$40*Indeks!$E$2)/Indeks!H209*100</f>
        <v>0.07890408579902987</v>
      </c>
      <c r="F209" s="116">
        <f>(Indeks!F209/Indeks!$F$40*Indeks!$F$2)/Indeks!H209*100</f>
        <v>0.08437915361072142</v>
      </c>
      <c r="G209" s="116">
        <f>(Indeks!G209/Indeks!$G$40*Indeks!$G$2)/Indeks!H209*100</f>
        <v>0.005529936720972585</v>
      </c>
      <c r="H209" s="116">
        <f t="shared" si="29"/>
        <v>0.9999999999999998</v>
      </c>
      <c r="W209" s="67"/>
      <c r="X209" s="67"/>
      <c r="Y209" s="67"/>
      <c r="Z209" s="67"/>
      <c r="AA209" s="67"/>
    </row>
    <row r="210" spans="1:27" ht="12.75">
      <c r="A210" s="16">
        <f aca="true" t="shared" si="30" ref="A210:A219">A209</f>
        <v>2022</v>
      </c>
      <c r="B210" s="17" t="s">
        <v>10</v>
      </c>
      <c r="C210" s="117">
        <f>(Indeks!C210/Indeks!$C$40*Indeks!$C$2)/Indeks!H210*100</f>
        <v>0.6512727230570828</v>
      </c>
      <c r="D210" s="117">
        <f>(Indeks!D210/Indeks!$D$40*Indeks!$D$2)/Indeks!H210*100</f>
        <v>0.17681135800789943</v>
      </c>
      <c r="E210" s="117">
        <f>(Indeks!E210/Indeks!$E$40*Indeks!$E$2)/Indeks!H210*100</f>
        <v>0.07915587583343286</v>
      </c>
      <c r="F210" s="117">
        <f>(Indeks!F210/Indeks!$F$40*Indeks!$F$2)/Indeks!H210*100</f>
        <v>0.08566851841855533</v>
      </c>
      <c r="G210" s="117">
        <f>(Indeks!G210/Indeks!$G$40*Indeks!$G$2)/Indeks!H210*100</f>
        <v>0.007091524683029479</v>
      </c>
      <c r="H210" s="117">
        <f t="shared" si="29"/>
        <v>1</v>
      </c>
      <c r="W210" s="67"/>
      <c r="X210" s="67"/>
      <c r="Y210" s="67"/>
      <c r="Z210" s="67"/>
      <c r="AA210" s="67"/>
    </row>
    <row r="211" spans="1:27" ht="12.75">
      <c r="A211" s="21">
        <f t="shared" si="30"/>
        <v>2022</v>
      </c>
      <c r="B211" s="22" t="s">
        <v>11</v>
      </c>
      <c r="C211" s="116">
        <f>(Indeks!C211/Indeks!$C$40*Indeks!$C$2)/Indeks!H211*100</f>
        <v>0.643741878671897</v>
      </c>
      <c r="D211" s="116">
        <f>(Indeks!D211/Indeks!$D$40*Indeks!$D$2)/Indeks!H211*100</f>
        <v>0.18219050310041093</v>
      </c>
      <c r="E211" s="116">
        <f>(Indeks!E211/Indeks!$E$40*Indeks!$E$2)/Indeks!H211*100</f>
        <v>0.07887343334732455</v>
      </c>
      <c r="F211" s="116">
        <f>(Indeks!F211/Indeks!$F$40*Indeks!$F$2)/Indeks!H211*100</f>
        <v>0.08480155259740944</v>
      </c>
      <c r="G211" s="116">
        <f>(Indeks!G211/Indeks!$G$40*Indeks!$G$2)/Indeks!H211*100</f>
        <v>0.010392632282958001</v>
      </c>
      <c r="H211" s="116">
        <f t="shared" si="29"/>
        <v>0.9999999999999999</v>
      </c>
      <c r="W211" s="67"/>
      <c r="X211" s="67"/>
      <c r="Y211" s="67"/>
      <c r="Z211" s="67"/>
      <c r="AA211" s="67"/>
    </row>
    <row r="212" spans="1:27" ht="12.75">
      <c r="A212" s="12">
        <f t="shared" si="30"/>
        <v>2022</v>
      </c>
      <c r="B212" s="13" t="s">
        <v>12</v>
      </c>
      <c r="C212" s="116">
        <f>(Indeks!C212/Indeks!$C$40*Indeks!$C$2)/Indeks!H212*100</f>
        <v>0.6225348334646351</v>
      </c>
      <c r="D212" s="116">
        <f>(Indeks!D212/Indeks!$D$40*Indeks!$D$2)/Indeks!H212*100</f>
        <v>0.2065658613085656</v>
      </c>
      <c r="E212" s="116">
        <f>(Indeks!E212/Indeks!$E$40*Indeks!$E$2)/Indeks!H212*100</f>
        <v>0.07676401719019034</v>
      </c>
      <c r="F212" s="116">
        <f>(Indeks!F212/Indeks!$F$40*Indeks!$F$2)/Indeks!H212*100</f>
        <v>0.08215228136897093</v>
      </c>
      <c r="G212" s="116">
        <f>(Indeks!G212/Indeks!$G$40*Indeks!$G$2)/Indeks!H212*100</f>
        <v>0.011983006667638118</v>
      </c>
      <c r="H212" s="116">
        <f t="shared" si="29"/>
        <v>1</v>
      </c>
      <c r="W212" s="67"/>
      <c r="X212" s="67"/>
      <c r="Y212" s="67"/>
      <c r="Z212" s="67"/>
      <c r="AA212" s="67"/>
    </row>
    <row r="213" spans="1:8" ht="13.5" thickBot="1">
      <c r="A213" s="38">
        <f t="shared" si="30"/>
        <v>2022</v>
      </c>
      <c r="B213" s="39" t="s">
        <v>13</v>
      </c>
      <c r="C213" s="93">
        <f>(Indeks!C213/Indeks!$C$40*Indeks!$C$2)/Indeks!H213*100</f>
        <v>0.619761998827216</v>
      </c>
      <c r="D213" s="93">
        <f>(Indeks!D213/Indeks!$D$40*Indeks!$D$2)/Indeks!H213*100</f>
        <v>0.2040679505851285</v>
      </c>
      <c r="E213" s="93">
        <f>(Indeks!E213/Indeks!$E$40*Indeks!$E$2)/Indeks!H213*100</f>
        <v>0.07767378368998419</v>
      </c>
      <c r="F213" s="93">
        <f>(Indeks!F213/Indeks!$F$40*Indeks!$F$2)/Indeks!H213*100</f>
        <v>0.08329560534841561</v>
      </c>
      <c r="G213" s="93">
        <f>(Indeks!G213/Indeks!$G$40*Indeks!$G$2)/Indeks!H213*100</f>
        <v>0.015200661549255652</v>
      </c>
      <c r="H213" s="93">
        <f t="shared" si="29"/>
        <v>1</v>
      </c>
    </row>
    <row r="214" spans="1:8" ht="12.75">
      <c r="A214" s="12">
        <f t="shared" si="30"/>
        <v>2022</v>
      </c>
      <c r="B214" s="13" t="s">
        <v>31</v>
      </c>
      <c r="C214" s="116">
        <f>(Indeks!C214/Indeks!$C$40*Indeks!$C$2)/Indeks!H214*100</f>
        <v>0.6125904387729756</v>
      </c>
      <c r="D214" s="116">
        <f>(Indeks!D214/Indeks!$D$40*Indeks!$D$2)/Indeks!H214*100</f>
        <v>0.2108275128636355</v>
      </c>
      <c r="E214" s="116">
        <f>(Indeks!E214/Indeks!$E$40*Indeks!$E$2)/Indeks!H214*100</f>
        <v>0.07709066627099356</v>
      </c>
      <c r="F214" s="116">
        <f>(Indeks!F214/Indeks!$F$40*Indeks!$F$2)/Indeks!H214*100</f>
        <v>0.08207813268758954</v>
      </c>
      <c r="G214" s="116">
        <f>(Indeks!G214/Indeks!$G$40*Indeks!$G$2)/Indeks!H214*100</f>
        <v>0.01741324940480581</v>
      </c>
      <c r="H214" s="116">
        <f t="shared" si="29"/>
        <v>1</v>
      </c>
    </row>
    <row r="215" spans="1:27" ht="12.75">
      <c r="A215" s="12">
        <f t="shared" si="30"/>
        <v>2022</v>
      </c>
      <c r="B215" s="13" t="s">
        <v>14</v>
      </c>
      <c r="C215" s="116">
        <f>(Indeks!C215/Indeks!$C$40*Indeks!$C$2)/Indeks!H215*100</f>
        <v>0.5974203837530093</v>
      </c>
      <c r="D215" s="116">
        <f>(Indeks!D215/Indeks!$D$40*Indeks!$D$2)/Indeks!H215*100</f>
        <v>0.22730254063957714</v>
      </c>
      <c r="E215" s="116">
        <f>(Indeks!E215/Indeks!$E$40*Indeks!$E$2)/Indeks!H215*100</f>
        <v>0.07578199547831271</v>
      </c>
      <c r="F215" s="116">
        <f>(Indeks!F215/Indeks!$F$40*Indeks!$F$2)/Indeks!H215*100</f>
        <v>0.08039029466595532</v>
      </c>
      <c r="G215" s="116">
        <f>(Indeks!G215/Indeks!$G$40*Indeks!$G$2)/Indeks!H215*100</f>
        <v>0.019104785463145205</v>
      </c>
      <c r="H215" s="116">
        <f t="shared" si="29"/>
        <v>0.9999999999999998</v>
      </c>
      <c r="W215" s="67"/>
      <c r="X215" s="67"/>
      <c r="Y215" s="67"/>
      <c r="Z215" s="67"/>
      <c r="AA215" s="67"/>
    </row>
    <row r="216" spans="1:27" ht="12.75">
      <c r="A216" s="63">
        <f t="shared" si="30"/>
        <v>2022</v>
      </c>
      <c r="B216" s="64" t="s">
        <v>15</v>
      </c>
      <c r="C216" s="117">
        <f>(Indeks!C216/Indeks!$C$40*Indeks!$C$2)/Indeks!H216*100</f>
        <v>0.6035528618599316</v>
      </c>
      <c r="D216" s="117">
        <f>(Indeks!D216/Indeks!$D$40*Indeks!$D$2)/Indeks!H216*100</f>
        <v>0.21931364390139282</v>
      </c>
      <c r="E216" s="117">
        <f>(Indeks!E216/Indeks!$E$40*Indeks!$E$2)/Indeks!H216*100</f>
        <v>0.07743601784575099</v>
      </c>
      <c r="F216" s="117">
        <f>(Indeks!F216/Indeks!$F$40*Indeks!$F$2)/Indeks!H216*100</f>
        <v>0.08198167928987643</v>
      </c>
      <c r="G216" s="117">
        <f>(Indeks!G216/Indeks!$G$40*Indeks!$G$2)/Indeks!H216*100</f>
        <v>0.01771579710304814</v>
      </c>
      <c r="H216" s="117">
        <f t="shared" si="29"/>
        <v>1</v>
      </c>
      <c r="W216" s="67"/>
      <c r="X216" s="67"/>
      <c r="Y216" s="67"/>
      <c r="Z216" s="67"/>
      <c r="AA216" s="67"/>
    </row>
    <row r="217" spans="1:27" ht="12.75">
      <c r="A217" s="32">
        <f t="shared" si="30"/>
        <v>2022</v>
      </c>
      <c r="B217" s="67" t="s">
        <v>16</v>
      </c>
      <c r="C217" s="116">
        <f>(Indeks!C217/Indeks!$C$40*Indeks!$C$2)/Indeks!H217*100</f>
        <v>0.6113933768662989</v>
      </c>
      <c r="D217" s="116">
        <f>(Indeks!D217/Indeks!$D$40*Indeks!$D$2)/Indeks!H217*100</f>
        <v>0.20446287043765676</v>
      </c>
      <c r="E217" s="116">
        <f>(Indeks!E217/Indeks!$E$40*Indeks!$E$2)/Indeks!H217*100</f>
        <v>0.07774919647274353</v>
      </c>
      <c r="F217" s="116">
        <f>(Indeks!F217/Indeks!$F$40*Indeks!$F$2)/Indeks!H217*100</f>
        <v>0.08280278567486407</v>
      </c>
      <c r="G217" s="116">
        <f>(Indeks!G217/Indeks!$G$40*Indeks!$G$2)/Indeks!H217*100</f>
        <v>0.023591770548437023</v>
      </c>
      <c r="H217" s="116">
        <f t="shared" si="29"/>
        <v>1.0000000000000002</v>
      </c>
      <c r="W217" s="67"/>
      <c r="X217" s="67"/>
      <c r="Y217" s="67"/>
      <c r="Z217" s="67"/>
      <c r="AA217" s="67"/>
    </row>
    <row r="218" spans="1:27" ht="12.75">
      <c r="A218" s="32">
        <f t="shared" si="30"/>
        <v>2022</v>
      </c>
      <c r="B218" s="67" t="s">
        <v>17</v>
      </c>
      <c r="C218" s="116">
        <f>(Indeks!C218/Indeks!$C$40*Indeks!$C$2)/Indeks!H218*100</f>
        <v>0.6059125053315648</v>
      </c>
      <c r="D218" s="116">
        <f>(Indeks!D218/Indeks!$D$40*Indeks!$D$2)/Indeks!H218*100</f>
        <v>0.20402477557216991</v>
      </c>
      <c r="E218" s="116">
        <f>(Indeks!E218/Indeks!$E$40*Indeks!$E$2)/Indeks!H218*100</f>
        <v>0.07805811278812753</v>
      </c>
      <c r="F218" s="116">
        <f>(Indeks!F218/Indeks!$F$40*Indeks!$F$2)/Indeks!H218*100</f>
        <v>0.08212980313095491</v>
      </c>
      <c r="G218" s="116">
        <f>(Indeks!G218/Indeks!$G$40*Indeks!$G$2)/Indeks!H218*100</f>
        <v>0.02987480317718296</v>
      </c>
      <c r="H218" s="116">
        <f t="shared" si="29"/>
        <v>1.0000000000000002</v>
      </c>
      <c r="W218" s="67"/>
      <c r="X218" s="67"/>
      <c r="Y218" s="67"/>
      <c r="Z218" s="67"/>
      <c r="AA218" s="67"/>
    </row>
    <row r="219" spans="1:8" ht="13.5" thickBot="1">
      <c r="A219" s="38">
        <f t="shared" si="30"/>
        <v>2022</v>
      </c>
      <c r="B219" s="39" t="s">
        <v>18</v>
      </c>
      <c r="C219" s="93">
        <f>(Indeks!C219/Indeks!$C$40*Indeks!$C$2)/Indeks!H219*100</f>
        <v>0.5951126217505646</v>
      </c>
      <c r="D219" s="93">
        <f>(Indeks!D219/Indeks!$D$40*Indeks!$D$2)/Indeks!H219*100</f>
        <v>0.21745046938798718</v>
      </c>
      <c r="E219" s="93">
        <f>(Indeks!E219/Indeks!$E$40*Indeks!$E$2)/Indeks!H219*100</f>
        <v>0.0774571715220527</v>
      </c>
      <c r="F219" s="93">
        <f>(Indeks!F219/Indeks!$F$40*Indeks!$F$2)/Indeks!H219*100</f>
        <v>0.08209543051094556</v>
      </c>
      <c r="G219" s="93">
        <f>(Indeks!G219/Indeks!$G$40*Indeks!$G$2)/Indeks!H219*100</f>
        <v>0.02788430682844991</v>
      </c>
      <c r="H219" s="93">
        <f t="shared" si="29"/>
        <v>0.9999999999999999</v>
      </c>
    </row>
    <row r="220" spans="1:27" ht="12.75">
      <c r="A220" s="8">
        <v>2023</v>
      </c>
      <c r="B220" s="67" t="s">
        <v>8</v>
      </c>
      <c r="C220" s="116">
        <f>(Indeks!C220/Indeks!$C$40*Indeks!$C$2)/Indeks!H220*100</f>
        <v>0.6081550748796863</v>
      </c>
      <c r="D220" s="116">
        <f>(Indeks!D220/Indeks!$D$40*Indeks!$D$2)/Indeks!H220*100</f>
        <v>0.20390377099130455</v>
      </c>
      <c r="E220" s="116">
        <f>(Indeks!E220/Indeks!$E$40*Indeks!$E$2)/Indeks!H220*100</f>
        <v>0.07795206830515454</v>
      </c>
      <c r="F220" s="116">
        <f>(Indeks!F220/Indeks!$F$40*Indeks!$F$2)/Indeks!H220*100</f>
        <v>0.08353582343228062</v>
      </c>
      <c r="G220" s="116">
        <f>(Indeks!G220/Indeks!$G$40*Indeks!$G$2)/Indeks!H220*100</f>
        <v>0.026453262391574237</v>
      </c>
      <c r="H220" s="116">
        <f aca="true" t="shared" si="31" ref="H220:H231">SUM(C220:G220)</f>
        <v>1.0000000000000002</v>
      </c>
      <c r="W220" s="67"/>
      <c r="X220" s="67"/>
      <c r="Y220" s="67"/>
      <c r="Z220" s="67"/>
      <c r="AA220" s="67"/>
    </row>
    <row r="221" spans="1:27" ht="12.75">
      <c r="A221" s="12">
        <f>A220</f>
        <v>2023</v>
      </c>
      <c r="B221" s="13" t="s">
        <v>9</v>
      </c>
      <c r="C221" s="116">
        <f>(Indeks!C221/Indeks!$C$40*Indeks!$C$2)/Indeks!H221*100</f>
        <v>0.6186952837032159</v>
      </c>
      <c r="D221" s="116">
        <f>(Indeks!D221/Indeks!$D$40*Indeks!$D$2)/Indeks!H221*100</f>
        <v>0.1860895097207593</v>
      </c>
      <c r="E221" s="116">
        <f>(Indeks!E221/Indeks!$E$40*Indeks!$E$2)/Indeks!H221*100</f>
        <v>0.07882700002633096</v>
      </c>
      <c r="F221" s="116">
        <f>(Indeks!F221/Indeks!$F$40*Indeks!$F$2)/Indeks!H221*100</f>
        <v>0.08505391280755607</v>
      </c>
      <c r="G221" s="116">
        <f>(Indeks!G221/Indeks!$G$40*Indeks!$G$2)/Indeks!H221*100</f>
        <v>0.03133429374213756</v>
      </c>
      <c r="H221" s="116">
        <f t="shared" si="31"/>
        <v>0.9999999999999998</v>
      </c>
      <c r="W221" s="67"/>
      <c r="X221" s="67"/>
      <c r="Y221" s="67"/>
      <c r="Z221" s="67"/>
      <c r="AA221" s="67"/>
    </row>
    <row r="222" spans="1:8" ht="12.75">
      <c r="A222" s="16">
        <f aca="true" t="shared" si="32" ref="A222:A231">A221</f>
        <v>2023</v>
      </c>
      <c r="B222" s="17" t="s">
        <v>10</v>
      </c>
      <c r="C222" s="117">
        <f>(Indeks!C222/Indeks!$C$40*Indeks!$C$2)/Indeks!H222*100</f>
        <v>0.6133461800199113</v>
      </c>
      <c r="D222" s="117">
        <f>(Indeks!D222/Indeks!$D$40*Indeks!$D$2)/Indeks!H222*100</f>
        <v>0.192257619858904</v>
      </c>
      <c r="E222" s="117">
        <f>(Indeks!E222/Indeks!$E$40*Indeks!$E$2)/Indeks!H222*100</f>
        <v>0.07848260366466134</v>
      </c>
      <c r="F222" s="117">
        <f>(Indeks!F222/Indeks!$F$40*Indeks!$F$2)/Indeks!H222*100</f>
        <v>0.08550319619807463</v>
      </c>
      <c r="G222" s="117">
        <f>(Indeks!G222/Indeks!$G$40*Indeks!$G$2)/Indeks!H222*100</f>
        <v>0.030410400258448832</v>
      </c>
      <c r="H222" s="117">
        <f t="shared" si="31"/>
        <v>1</v>
      </c>
    </row>
    <row r="223" spans="1:27" ht="12.75">
      <c r="A223" s="32">
        <f t="shared" si="32"/>
        <v>2023</v>
      </c>
      <c r="B223" s="67" t="s">
        <v>11</v>
      </c>
      <c r="C223" s="116">
        <f>(Indeks!C223/Indeks!$C$40*Indeks!$C$2)/Indeks!H223*100</f>
        <v>0.6182337800939073</v>
      </c>
      <c r="D223" s="116">
        <f>(Indeks!D223/Indeks!$D$40*Indeks!$D$2)/Indeks!H223*100</f>
        <v>0.18394721778519696</v>
      </c>
      <c r="E223" s="116">
        <f>(Indeks!E223/Indeks!$E$40*Indeks!$E$2)/Indeks!H223*100</f>
        <v>0.07921418551179644</v>
      </c>
      <c r="F223" s="116">
        <f>(Indeks!F223/Indeks!$F$40*Indeks!$F$2)/Indeks!H223*100</f>
        <v>0.08521360057730022</v>
      </c>
      <c r="G223" s="116">
        <f>(Indeks!G223/Indeks!$G$40*Indeks!$G$2)/Indeks!H223*100</f>
        <v>0.03339121603179913</v>
      </c>
      <c r="H223" s="116">
        <f t="shared" si="31"/>
        <v>1</v>
      </c>
      <c r="W223" s="67"/>
      <c r="X223" s="67"/>
      <c r="Y223" s="67"/>
      <c r="Z223" s="67"/>
      <c r="AA223" s="67"/>
    </row>
    <row r="224" spans="1:8" ht="12.75">
      <c r="A224" s="12">
        <f t="shared" si="32"/>
        <v>2023</v>
      </c>
      <c r="B224" s="13" t="s">
        <v>12</v>
      </c>
      <c r="C224" s="116">
        <f>(Indeks!C224/Indeks!$C$40*Indeks!$C$2)/Indeks!H224*100</f>
        <v>0.6221039230278258</v>
      </c>
      <c r="D224" s="116">
        <f>(Indeks!D224/Indeks!$D$40*Indeks!$D$2)/Indeks!H224*100</f>
        <v>0.1809939737316112</v>
      </c>
      <c r="E224" s="116">
        <f>(Indeks!E224/Indeks!$E$40*Indeks!$E$2)/Indeks!H224*100</f>
        <v>0.07957438953675691</v>
      </c>
      <c r="F224" s="116">
        <f>(Indeks!F224/Indeks!$F$40*Indeks!$F$2)/Indeks!H224*100</f>
        <v>0.0861677099463585</v>
      </c>
      <c r="G224" s="116">
        <f>(Indeks!G224/Indeks!$G$40*Indeks!$G$2)/Indeks!H224*100</f>
        <v>0.031160003757447808</v>
      </c>
      <c r="H224" s="116">
        <f t="shared" si="31"/>
        <v>1.0000000000000002</v>
      </c>
    </row>
    <row r="225" spans="1:8" ht="13.5" thickBot="1">
      <c r="A225" s="38">
        <f t="shared" si="32"/>
        <v>2023</v>
      </c>
      <c r="B225" s="39" t="s">
        <v>13</v>
      </c>
      <c r="C225" s="93">
        <f>(Indeks!C225/Indeks!$C$40*Indeks!$C$2)/Indeks!H225*100</f>
        <v>0.626173960868366</v>
      </c>
      <c r="D225" s="93">
        <f>(Indeks!D225/Indeks!$D$40*Indeks!$D$2)/Indeks!H225*100</f>
        <v>0.17507690257961778</v>
      </c>
      <c r="E225" s="93">
        <f>(Indeks!E225/Indeks!$E$40*Indeks!$E$2)/Indeks!H225*100</f>
        <v>0.0802998416562306</v>
      </c>
      <c r="F225" s="93">
        <f>(Indeks!F225/Indeks!$F$40*Indeks!$F$2)/Indeks!H225*100</f>
        <v>0.0868020222626991</v>
      </c>
      <c r="G225" s="93">
        <f>(Indeks!G225/Indeks!$G$40*Indeks!$G$2)/Indeks!H225*100</f>
        <v>0.0316472726330866</v>
      </c>
      <c r="H225" s="93">
        <f t="shared" si="31"/>
        <v>1</v>
      </c>
    </row>
    <row r="226" spans="1:8" ht="12.75">
      <c r="A226" s="21">
        <f t="shared" si="32"/>
        <v>2023</v>
      </c>
      <c r="B226" s="26" t="s">
        <v>31</v>
      </c>
      <c r="C226" s="116">
        <f>(Indeks!C226/Indeks!$C$40*Indeks!$C$2)/Indeks!H226*100</f>
        <v>0.6348563282706509</v>
      </c>
      <c r="D226" s="116">
        <f>(Indeks!D226/Indeks!$D$40*Indeks!$D$2)/Indeks!H226*100</f>
        <v>0.16587059966084605</v>
      </c>
      <c r="E226" s="116">
        <f>(Indeks!E226/Indeks!$E$40*Indeks!$E$2)/Indeks!H226*100</f>
        <v>0.07956005260306383</v>
      </c>
      <c r="F226" s="116">
        <f>(Indeks!F226/Indeks!$F$40*Indeks!$F$2)/Indeks!H226*100</f>
        <v>0.08697591368838548</v>
      </c>
      <c r="G226" s="116">
        <f>(Indeks!G226/Indeks!$G$40*Indeks!$G$2)/Indeks!H226*100</f>
        <v>0.03273710577705388</v>
      </c>
      <c r="H226" s="116">
        <f t="shared" si="31"/>
        <v>1</v>
      </c>
    </row>
    <row r="227" spans="1:8" ht="12.75">
      <c r="A227" s="12">
        <f t="shared" si="32"/>
        <v>2023</v>
      </c>
      <c r="B227" s="13" t="s">
        <v>14</v>
      </c>
      <c r="C227" s="116">
        <f>(Indeks!C227/Indeks!$C$40*Indeks!$C$2)/Indeks!H227*100</f>
        <v>0.630444891993215</v>
      </c>
      <c r="D227" s="116">
        <f>(Indeks!D227/Indeks!$D$40*Indeks!$D$2)/Indeks!H227*100</f>
        <v>0.16871039538599392</v>
      </c>
      <c r="E227" s="116">
        <f>(Indeks!E227/Indeks!$E$40*Indeks!$E$2)/Indeks!H227*100</f>
        <v>0.0792796510621042</v>
      </c>
      <c r="F227" s="116">
        <f>(Indeks!F227/Indeks!$F$40*Indeks!$F$2)/Indeks!H227*100</f>
        <v>0.08679389750435285</v>
      </c>
      <c r="G227" s="116">
        <f>(Indeks!G227/Indeks!$G$40*Indeks!$G$2)/Indeks!H227*100</f>
        <v>0.034771164054334294</v>
      </c>
      <c r="H227" s="116">
        <f t="shared" si="31"/>
        <v>1.0000000000000002</v>
      </c>
    </row>
    <row r="228" spans="1:8" ht="12.75">
      <c r="A228" s="63">
        <f t="shared" si="32"/>
        <v>2023</v>
      </c>
      <c r="B228" s="64" t="s">
        <v>15</v>
      </c>
      <c r="C228" s="117">
        <f>(Indeks!C228/Indeks!$C$40*Indeks!$C$2)/Indeks!H228*100</f>
        <v>0.6279582056511228</v>
      </c>
      <c r="D228" s="117">
        <f>(Indeks!D228/Indeks!$D$40*Indeks!$D$2)/Indeks!H228*100</f>
        <v>0.16984084511264871</v>
      </c>
      <c r="E228" s="117">
        <f>(Indeks!E228/Indeks!$E$40*Indeks!$E$2)/Indeks!H228*100</f>
        <v>0.08039160688598838</v>
      </c>
      <c r="F228" s="117">
        <f>(Indeks!F228/Indeks!$F$40*Indeks!$F$2)/Indeks!H228*100</f>
        <v>0.08736304568023188</v>
      </c>
      <c r="G228" s="117">
        <f>(Indeks!G228/Indeks!$G$40*Indeks!$G$2)/Indeks!H228*100</f>
        <v>0.03444629667000857</v>
      </c>
      <c r="H228" s="117">
        <f t="shared" si="31"/>
        <v>1.0000000000000004</v>
      </c>
    </row>
    <row r="229" spans="1:27" ht="12.75">
      <c r="A229" s="32">
        <f t="shared" si="32"/>
        <v>2023</v>
      </c>
      <c r="B229" s="67" t="s">
        <v>16</v>
      </c>
      <c r="C229" s="116">
        <f>(Indeks!C229/Indeks!$C$40*Indeks!$C$2)/Indeks!H229*100</f>
        <v>0.6196759708539885</v>
      </c>
      <c r="D229" s="116">
        <f>(Indeks!D229/Indeks!$D$40*Indeks!$D$2)/Indeks!H229*100</f>
        <v>0.1825821074394922</v>
      </c>
      <c r="E229" s="116">
        <f>(Indeks!E229/Indeks!$E$40*Indeks!$E$2)/Indeks!H229*100</f>
        <v>0.07837993126702278</v>
      </c>
      <c r="F229" s="116">
        <f>(Indeks!F229/Indeks!$F$40*Indeks!$F$2)/Indeks!H229*100</f>
        <v>0.08554938833333921</v>
      </c>
      <c r="G229" s="116">
        <f>(Indeks!G229/Indeks!$G$40*Indeks!$G$2)/Indeks!H229*100</f>
        <v>0.033812602106157406</v>
      </c>
      <c r="H229" s="116">
        <f t="shared" si="31"/>
        <v>1.0000000000000002</v>
      </c>
      <c r="W229" s="67"/>
      <c r="X229" s="67"/>
      <c r="Y229" s="67"/>
      <c r="Z229" s="67"/>
      <c r="AA229" s="67"/>
    </row>
    <row r="230" spans="1:8" ht="12.75">
      <c r="A230" s="32">
        <f t="shared" si="32"/>
        <v>2023</v>
      </c>
      <c r="B230" s="67" t="s">
        <v>17</v>
      </c>
      <c r="C230" s="116">
        <f>(Indeks!C230/Indeks!$C$40*Indeks!$C$2)/Indeks!H230*100</f>
        <v>0.615028025009789</v>
      </c>
      <c r="D230" s="116">
        <f>(Indeks!D230/Indeks!$D$40*Indeks!$D$2)/Indeks!H230*100</f>
        <v>0.1878362649224911</v>
      </c>
      <c r="E230" s="116">
        <f>(Indeks!E230/Indeks!$E$40*Indeks!$E$2)/Indeks!H230*100</f>
        <v>0.07759375375504285</v>
      </c>
      <c r="F230" s="116">
        <f>(Indeks!F230/Indeks!$F$40*Indeks!$F$2)/Indeks!H230*100</f>
        <v>0.08470278989888252</v>
      </c>
      <c r="G230" s="116">
        <f>(Indeks!G230/Indeks!$G$40*Indeks!$G$2)/Indeks!H230*100</f>
        <v>0.03483916641379434</v>
      </c>
      <c r="H230" s="116">
        <f t="shared" si="31"/>
        <v>0.9999999999999998</v>
      </c>
    </row>
    <row r="231" spans="1:8" ht="13.5" thickBot="1">
      <c r="A231" s="72">
        <f t="shared" si="32"/>
        <v>2023</v>
      </c>
      <c r="B231" s="73" t="s">
        <v>18</v>
      </c>
      <c r="C231" s="229">
        <f>(Indeks!C231/Indeks!$C$40*Indeks!$C$2)/Indeks!H231*100</f>
        <v>0.6144576210507977</v>
      </c>
      <c r="D231" s="229">
        <f>(Indeks!D231/Indeks!$D$40*Indeks!$D$2)/Indeks!H231*100</f>
        <v>0.18766205733389832</v>
      </c>
      <c r="E231" s="229">
        <f>(Indeks!E231/Indeks!$E$40*Indeks!$E$2)/Indeks!H231*100</f>
        <v>0.07795948748654795</v>
      </c>
      <c r="F231" s="229">
        <f>(Indeks!F231/Indeks!$F$40*Indeks!$F$2)/Indeks!H231*100</f>
        <v>0.08511397908556954</v>
      </c>
      <c r="G231" s="229">
        <f>(Indeks!G231/Indeks!$G$40*Indeks!$G$2)/Indeks!H231*100</f>
        <v>0.034806855043186355</v>
      </c>
      <c r="H231" s="229">
        <f t="shared" si="31"/>
        <v>0.9999999999999998</v>
      </c>
    </row>
    <row r="232" spans="1:8" ht="12.75">
      <c r="A232" s="8">
        <v>2024</v>
      </c>
      <c r="B232" s="67" t="s">
        <v>8</v>
      </c>
      <c r="C232" s="108">
        <f>(Indeks!C232/Indeks!$C$40*Indeks!$C$2)/Indeks!H232*100</f>
        <v>0.6156813432188498</v>
      </c>
      <c r="D232" s="108">
        <f>(Indeks!D232/Indeks!$D$40*Indeks!$D$2)/Indeks!H232*100</f>
        <v>0.1866913106794362</v>
      </c>
      <c r="E232" s="108">
        <f>(Indeks!E232/Indeks!$E$40*Indeks!$E$2)/Indeks!H232*100</f>
        <v>0.0778578396291442</v>
      </c>
      <c r="F232" s="108">
        <f>(Indeks!F232/Indeks!$F$40*Indeks!$F$2)/Indeks!H232*100</f>
        <v>0.08514270188052701</v>
      </c>
      <c r="G232" s="108">
        <f>(Indeks!G232/Indeks!$G$40*Indeks!$G$2)/Indeks!H232*100</f>
        <v>0.03462680459204267</v>
      </c>
      <c r="H232" s="108">
        <f aca="true" t="shared" si="33" ref="H232:H243">SUM(C232:G232)</f>
        <v>0.9999999999999999</v>
      </c>
    </row>
    <row r="233" spans="1:8" ht="12.75">
      <c r="A233" s="12">
        <f>A232</f>
        <v>2024</v>
      </c>
      <c r="B233" s="13" t="s">
        <v>9</v>
      </c>
      <c r="C233" s="108">
        <f>(Indeks!C233/Indeks!$C$40*Indeks!$C$2)/Indeks!H233*100</f>
        <v>0.6152049288425755</v>
      </c>
      <c r="D233" s="108">
        <f>(Indeks!D233/Indeks!$D$40*Indeks!$D$2)/Indeks!H233*100</f>
        <v>0.18654684889687156</v>
      </c>
      <c r="E233" s="108">
        <f>(Indeks!E233/Indeks!$E$40*Indeks!$E$2)/Indeks!H233*100</f>
        <v>0.07810015641283162</v>
      </c>
      <c r="F233" s="108">
        <f>(Indeks!F233/Indeks!$F$40*Indeks!$F$2)/Indeks!H233*100</f>
        <v>0.0855480554856708</v>
      </c>
      <c r="G233" s="108">
        <f>(Indeks!G233/Indeks!$G$40*Indeks!$G$2)/Indeks!H233*100</f>
        <v>0.0346000103620505</v>
      </c>
      <c r="H233" s="108">
        <f t="shared" si="33"/>
        <v>1</v>
      </c>
    </row>
    <row r="234" spans="1:8" ht="12.75">
      <c r="A234" s="16">
        <f aca="true" t="shared" si="34" ref="A234:A243">A233</f>
        <v>2024</v>
      </c>
      <c r="B234" s="17" t="s">
        <v>10</v>
      </c>
      <c r="C234" s="108">
        <f>(Indeks!C234/Indeks!$C$40*Indeks!$C$2)/Indeks!H234*100</f>
        <v>0.6147269251081898</v>
      </c>
      <c r="D234" s="108">
        <f>(Indeks!D234/Indeks!$D$40*Indeks!$D$2)/Indeks!H234*100</f>
        <v>0.1864019051777464</v>
      </c>
      <c r="E234" s="108">
        <f>(Indeks!E234/Indeks!$E$40*Indeks!$E$2)/Indeks!H234*100</f>
        <v>0.07834297782307717</v>
      </c>
      <c r="F234" s="108">
        <f>(Indeks!F234/Indeks!$F$40*Indeks!$F$2)/Indeks!H234*100</f>
        <v>0.08595506514671516</v>
      </c>
      <c r="G234" s="108">
        <f>(Indeks!G234/Indeks!$G$40*Indeks!$G$2)/Indeks!H234*100</f>
        <v>0.03457312674427137</v>
      </c>
      <c r="H234" s="108">
        <f t="shared" si="33"/>
        <v>1</v>
      </c>
    </row>
    <row r="235" spans="1:8" ht="12.75">
      <c r="A235" s="21">
        <f t="shared" si="34"/>
        <v>2024</v>
      </c>
      <c r="B235" s="22" t="s">
        <v>11</v>
      </c>
      <c r="C235" s="110">
        <f>(Indeks!C235/Indeks!$C$40*Indeks!$C$2)/Indeks!H235*100</f>
        <v>0.6159462266191195</v>
      </c>
      <c r="D235" s="110">
        <f>(Indeks!D235/Indeks!$D$40*Indeks!$D$2)/Indeks!H235*100</f>
        <v>0.1854361847480671</v>
      </c>
      <c r="E235" s="110">
        <f>(Indeks!E235/Indeks!$E$40*Indeks!$E$2)/Indeks!H235*100</f>
        <v>0.07824020029134572</v>
      </c>
      <c r="F235" s="110">
        <f>(Indeks!F235/Indeks!$F$40*Indeks!$F$2)/Indeks!H235*100</f>
        <v>0.08598337980300515</v>
      </c>
      <c r="G235" s="110">
        <f>(Indeks!G235/Indeks!$G$40*Indeks!$G$2)/Indeks!H235*100</f>
        <v>0.03439400853846228</v>
      </c>
      <c r="H235" s="110">
        <f t="shared" si="33"/>
        <v>0.9999999999999998</v>
      </c>
    </row>
    <row r="236" spans="1:8" ht="12.75">
      <c r="A236" s="12">
        <f t="shared" si="34"/>
        <v>2024</v>
      </c>
      <c r="B236" s="13" t="s">
        <v>12</v>
      </c>
      <c r="C236" s="108">
        <f>(Indeks!C236/Indeks!$C$40*Indeks!$C$2)/Indeks!H236*100</f>
        <v>0.6154658290735883</v>
      </c>
      <c r="D236" s="108">
        <f>(Indeks!D236/Indeks!$D$40*Indeks!$D$2)/Indeks!H236*100</f>
        <v>0.18529155672023648</v>
      </c>
      <c r="E236" s="108">
        <f>(Indeks!E236/Indeks!$E$40*Indeks!$E$2)/Indeks!H236*100</f>
        <v>0.07848322530491118</v>
      </c>
      <c r="F236" s="108">
        <f>(Indeks!F236/Indeks!$F$40*Indeks!$F$2)/Indeks!H236*100</f>
        <v>0.08639220542734263</v>
      </c>
      <c r="G236" s="108">
        <f>(Indeks!G236/Indeks!$G$40*Indeks!$G$2)/Indeks!H236*100</f>
        <v>0.03436718347392126</v>
      </c>
      <c r="H236" s="108">
        <f t="shared" si="33"/>
        <v>0.9999999999999998</v>
      </c>
    </row>
    <row r="237" spans="1:8" ht="12.75">
      <c r="A237" s="16">
        <f t="shared" si="34"/>
        <v>2024</v>
      </c>
      <c r="B237" s="17" t="s">
        <v>13</v>
      </c>
      <c r="C237" s="109">
        <f>(Indeks!C237/Indeks!$C$40*Indeks!$C$2)/Indeks!H237*100</f>
        <v>0.6149838338822611</v>
      </c>
      <c r="D237" s="109">
        <f>(Indeks!D237/Indeks!$D$40*Indeks!$D$2)/Indeks!H237*100</f>
        <v>0.1851464477066831</v>
      </c>
      <c r="E237" s="109">
        <f>(Indeks!E237/Indeks!$E$40*Indeks!$E$2)/Indeks!H237*100</f>
        <v>0.07872675270238397</v>
      </c>
      <c r="F237" s="109">
        <f>(Indeks!F237/Indeks!$F$40*Indeks!$F$2)/Indeks!H237*100</f>
        <v>0.08680269651072066</v>
      </c>
      <c r="G237" s="109">
        <f>(Indeks!G237/Indeks!$G$40*Indeks!$G$2)/Indeks!H237*100</f>
        <v>0.0343402691979511</v>
      </c>
      <c r="H237" s="109">
        <f t="shared" si="33"/>
        <v>0.9999999999999999</v>
      </c>
    </row>
    <row r="238" spans="1:8" ht="12.75">
      <c r="A238" s="21">
        <f t="shared" si="34"/>
        <v>2024</v>
      </c>
      <c r="B238" s="26" t="s">
        <v>31</v>
      </c>
      <c r="C238" s="110">
        <f>(Indeks!C238/Indeks!$C$40*Indeks!$C$2)/Indeks!H238*100</f>
        <v>0.6161987178050331</v>
      </c>
      <c r="D238" s="110">
        <f>(Indeks!D238/Indeks!$D$40*Indeks!$D$2)/Indeks!H238*100</f>
        <v>0.1841857588540021</v>
      </c>
      <c r="E238" s="110">
        <f>(Indeks!E238/Indeks!$E$40*Indeks!$E$2)/Indeks!H238*100</f>
        <v>0.07862284302634653</v>
      </c>
      <c r="F238" s="110">
        <f>(Indeks!F238/Indeks!$F$40*Indeks!$F$2)/Indeks!H238*100</f>
        <v>0.08683059608443257</v>
      </c>
      <c r="G238" s="110">
        <f>(Indeks!G238/Indeks!$G$40*Indeks!$G$2)/Indeks!H238*100</f>
        <v>0.03416208423018547</v>
      </c>
      <c r="H238" s="110">
        <f t="shared" si="33"/>
        <v>0.9999999999999999</v>
      </c>
    </row>
    <row r="239" spans="1:8" ht="12.75">
      <c r="A239" s="12">
        <f t="shared" si="34"/>
        <v>2024</v>
      </c>
      <c r="B239" s="13" t="s">
        <v>14</v>
      </c>
      <c r="C239" s="108">
        <f>(Indeks!C239/Indeks!$C$40*Indeks!$C$2)/Indeks!H239*100</f>
        <v>0.6157143206722819</v>
      </c>
      <c r="D239" s="108">
        <f>(Indeks!D239/Indeks!$D$40*Indeks!$D$2)/Indeks!H239*100</f>
        <v>0.18404096943639295</v>
      </c>
      <c r="E239" s="108">
        <f>(Indeks!E239/Indeks!$E$40*Indeks!$E$2)/Indeks!H239*100</f>
        <v>0.07886656950071294</v>
      </c>
      <c r="F239" s="108">
        <f>(Indeks!F239/Indeks!$F$40*Indeks!$F$2)/Indeks!H239*100</f>
        <v>0.0872429111589388</v>
      </c>
      <c r="G239" s="108">
        <f>(Indeks!G239/Indeks!$G$40*Indeks!$G$2)/Indeks!H239*100</f>
        <v>0.03413522923167321</v>
      </c>
      <c r="H239" s="108">
        <f t="shared" si="33"/>
        <v>0.9999999999999998</v>
      </c>
    </row>
    <row r="240" spans="1:8" ht="12.75">
      <c r="A240" s="63">
        <f t="shared" si="34"/>
        <v>2024</v>
      </c>
      <c r="B240" s="64" t="s">
        <v>15</v>
      </c>
      <c r="C240" s="111">
        <f>(Indeks!C240/Indeks!$C$40*Indeks!$C$2)/Indeks!H240*100</f>
        <v>0.6152283176717438</v>
      </c>
      <c r="D240" s="111">
        <f>(Indeks!D240/Indeks!$D$40*Indeks!$D$2)/Indeks!H240*100</f>
        <v>0.18389570001457672</v>
      </c>
      <c r="E240" s="111">
        <f>(Indeks!E240/Indeks!$E$40*Indeks!$E$2)/Indeks!H240*100</f>
        <v>0.07911079605429865</v>
      </c>
      <c r="F240" s="111">
        <f>(Indeks!F240/Indeks!$F$40*Indeks!$F$2)/Indeks!H240*100</f>
        <v>0.08765690105560109</v>
      </c>
      <c r="G240" s="111">
        <f>(Indeks!G240/Indeks!$G$40*Indeks!$G$2)/Indeks!H240*100</f>
        <v>0.03410828520377966</v>
      </c>
      <c r="H240" s="111">
        <f t="shared" si="33"/>
        <v>0.9999999999999999</v>
      </c>
    </row>
    <row r="241" spans="1:8" ht="12.75">
      <c r="A241" s="32">
        <f t="shared" si="34"/>
        <v>2024</v>
      </c>
      <c r="B241" s="67" t="s">
        <v>16</v>
      </c>
      <c r="C241" s="112">
        <f>(Indeks!C241/Indeks!$C$40*Indeks!$C$2)/Indeks!H241*100</f>
        <v>0.6164387874280634</v>
      </c>
      <c r="D241" s="112">
        <f>(Indeks!D241/Indeks!$D$40*Indeks!$D$2)/Indeks!H241*100</f>
        <v>0.1829400477284261</v>
      </c>
      <c r="E241" s="112">
        <f>(Indeks!E241/Indeks!$E$40*Indeks!$E$2)/Indeks!H241*100</f>
        <v>0.0790057518474103</v>
      </c>
      <c r="F241" s="112">
        <f>(Indeks!F241/Indeks!$F$40*Indeks!$F$2)/Indeks!H241*100</f>
        <v>0.08768437859660302</v>
      </c>
      <c r="G241" s="112">
        <f>(Indeks!G241/Indeks!$G$40*Indeks!$G$2)/Indeks!H241*100</f>
        <v>0.0339310343994972</v>
      </c>
      <c r="H241" s="112">
        <f t="shared" si="33"/>
        <v>1</v>
      </c>
    </row>
    <row r="242" spans="1:8" ht="12.75">
      <c r="A242" s="32">
        <f t="shared" si="34"/>
        <v>2024</v>
      </c>
      <c r="B242" s="67" t="s">
        <v>17</v>
      </c>
      <c r="C242" s="112">
        <f>(Indeks!C242/Indeks!$C$40*Indeks!$C$2)/Indeks!H242*100</f>
        <v>0.6159503744587437</v>
      </c>
      <c r="D242" s="112">
        <f>(Indeks!D242/Indeks!$D$40*Indeks!$D$2)/Indeks!H242*100</f>
        <v>0.1827951018007188</v>
      </c>
      <c r="E242" s="112">
        <f>(Indeks!E242/Indeks!$E$40*Indeks!$E$2)/Indeks!H242*100</f>
        <v>0.07925017290876298</v>
      </c>
      <c r="F242" s="112">
        <f>(Indeks!F242/Indeks!$F$40*Indeks!$F$2)/Indeks!H242*100</f>
        <v>0.0881002004596958</v>
      </c>
      <c r="G242" s="112">
        <f>(Indeks!G242/Indeks!$G$40*Indeks!$G$2)/Indeks!H242*100</f>
        <v>0.03390415037207854</v>
      </c>
      <c r="H242" s="112">
        <f t="shared" si="33"/>
        <v>0.9999999999999998</v>
      </c>
    </row>
    <row r="243" spans="1:8" ht="12.75">
      <c r="A243" s="32">
        <f t="shared" si="34"/>
        <v>2024</v>
      </c>
      <c r="B243" s="33" t="s">
        <v>18</v>
      </c>
      <c r="C243" s="108">
        <f>(Indeks!C243/Indeks!$C$40*Indeks!$C$2)/Indeks!H243*100</f>
        <v>0.6154603474674328</v>
      </c>
      <c r="D243" s="108">
        <f>(Indeks!D243/Indeks!$D$40*Indeks!$D$2)/Indeks!H243*100</f>
        <v>0.18264967688099132</v>
      </c>
      <c r="E243" s="108">
        <f>(Indeks!E243/Indeks!$E$40*Indeks!$E$2)/Indeks!H243*100</f>
        <v>0.07949509168233866</v>
      </c>
      <c r="F243" s="108">
        <f>(Indeks!F243/Indeks!$F$40*Indeks!$F$2)/Indeks!H243*100</f>
        <v>0.08851770646622181</v>
      </c>
      <c r="G243" s="108">
        <f>(Indeks!G243/Indeks!$G$40*Indeks!$G$2)/Indeks!H243*100</f>
        <v>0.033877177503015214</v>
      </c>
      <c r="H243" s="108">
        <f t="shared" si="33"/>
        <v>0.9999999999999999</v>
      </c>
    </row>
  </sheetData>
  <sheetProtection/>
  <printOptions/>
  <pageMargins left="0.7480314960629921" right="0.7480314960629921" top="0.7874015748031497" bottom="0.3937007874015748" header="0" footer="0"/>
  <pageSetup fitToHeight="0" fitToWidth="1" horizontalDpi="600" verticalDpi="600" orientation="portrait" paperSize="9" r:id="rId2"/>
  <headerFooter alignWithMargins="0">
    <oddHeader>&amp;L&amp;G&amp;R&amp;14
&amp;"Arial,Fed"Omkostningsindeks</oddHeader>
    <oddFooter>&amp;L&amp;D&amp;RKontaktinformation: FynBus (HNB/JNB)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42"/>
  <sheetViews>
    <sheetView view="pageBreakPreview" zoomScale="98" zoomScaleSheetLayoutView="98" workbookViewId="0" topLeftCell="A202">
      <selection activeCell="F238" sqref="F238"/>
    </sheetView>
  </sheetViews>
  <sheetFormatPr defaultColWidth="9.140625" defaultRowHeight="12.75"/>
  <cols>
    <col min="1" max="1" width="7.140625" style="0" customWidth="1"/>
    <col min="2" max="2" width="9.57421875" style="0" customWidth="1"/>
    <col min="3" max="3" width="8.57421875" style="0" customWidth="1"/>
    <col min="4" max="4" width="9.57421875" style="0" bestFit="1" customWidth="1"/>
    <col min="5" max="6" width="10.140625" style="0" customWidth="1"/>
    <col min="7" max="7" width="11.140625" style="0" customWidth="1"/>
    <col min="8" max="8" width="9.57421875" style="0" customWidth="1"/>
    <col min="9" max="9" width="10.421875" style="48" customWidth="1"/>
  </cols>
  <sheetData>
    <row r="1" spans="1:8" ht="18" customHeight="1" hidden="1">
      <c r="A1" s="31" t="s">
        <v>36</v>
      </c>
      <c r="C1" s="2"/>
      <c r="H1" s="100" t="s">
        <v>32</v>
      </c>
    </row>
    <row r="2" spans="1:9" ht="15" customHeight="1" thickBot="1">
      <c r="A2" s="30" t="s">
        <v>1</v>
      </c>
      <c r="B2" s="30" t="s">
        <v>2</v>
      </c>
      <c r="C2" s="30" t="s">
        <v>0</v>
      </c>
      <c r="D2" s="30" t="s">
        <v>20</v>
      </c>
      <c r="E2" s="30" t="s">
        <v>34</v>
      </c>
      <c r="F2" s="30" t="s">
        <v>37</v>
      </c>
      <c r="G2" s="30" t="s">
        <v>35</v>
      </c>
      <c r="H2" s="30" t="s">
        <v>48</v>
      </c>
      <c r="I2" s="29"/>
    </row>
    <row r="3" spans="1:9" ht="15.75" hidden="1" thickBot="1">
      <c r="A3" s="8">
        <v>2005</v>
      </c>
      <c r="B3" s="13" t="s">
        <v>8</v>
      </c>
      <c r="C3" s="121" t="s">
        <v>19</v>
      </c>
      <c r="D3" s="119" t="s">
        <v>19</v>
      </c>
      <c r="E3" s="119"/>
      <c r="F3" s="119"/>
      <c r="G3" s="119"/>
      <c r="H3" s="176"/>
      <c r="I3" s="94"/>
    </row>
    <row r="4" spans="1:9" ht="15.75" hidden="1" thickBot="1">
      <c r="A4" s="12">
        <f>A3</f>
        <v>2005</v>
      </c>
      <c r="B4" s="13" t="s">
        <v>9</v>
      </c>
      <c r="C4" s="121" t="s">
        <v>19</v>
      </c>
      <c r="D4" s="131" t="s">
        <v>19</v>
      </c>
      <c r="E4" s="131"/>
      <c r="F4" s="131"/>
      <c r="G4" s="131"/>
      <c r="H4" s="176"/>
      <c r="I4" s="113"/>
    </row>
    <row r="5" spans="1:9" ht="15.75" hidden="1" thickBot="1">
      <c r="A5" s="16">
        <f aca="true" t="shared" si="0" ref="A5:A14">A4</f>
        <v>2005</v>
      </c>
      <c r="B5" s="17" t="s">
        <v>10</v>
      </c>
      <c r="C5" s="122" t="s">
        <v>19</v>
      </c>
      <c r="D5" s="132" t="s">
        <v>19</v>
      </c>
      <c r="E5" s="132" t="s">
        <v>19</v>
      </c>
      <c r="F5" s="132"/>
      <c r="G5" s="132"/>
      <c r="H5" s="176"/>
      <c r="I5" s="113"/>
    </row>
    <row r="6" spans="1:9" ht="15.75" hidden="1" thickBot="1">
      <c r="A6" s="21">
        <f t="shared" si="0"/>
        <v>2005</v>
      </c>
      <c r="B6" s="22" t="s">
        <v>11</v>
      </c>
      <c r="C6" s="123" t="s">
        <v>19</v>
      </c>
      <c r="D6" s="133" t="s">
        <v>19</v>
      </c>
      <c r="E6" s="133"/>
      <c r="F6" s="133"/>
      <c r="G6" s="133"/>
      <c r="H6" s="176"/>
      <c r="I6" s="113"/>
    </row>
    <row r="7" spans="1:9" ht="15.75" hidden="1" thickBot="1">
      <c r="A7" s="12">
        <f t="shared" si="0"/>
        <v>2005</v>
      </c>
      <c r="B7" s="13" t="s">
        <v>12</v>
      </c>
      <c r="C7" s="121" t="s">
        <v>19</v>
      </c>
      <c r="D7" s="131" t="s">
        <v>19</v>
      </c>
      <c r="E7" s="131"/>
      <c r="F7" s="131"/>
      <c r="G7" s="131"/>
      <c r="H7" s="176"/>
      <c r="I7" s="113"/>
    </row>
    <row r="8" spans="1:9" ht="15.75" hidden="1" thickBot="1">
      <c r="A8" s="16">
        <f t="shared" si="0"/>
        <v>2005</v>
      </c>
      <c r="B8" s="17" t="s">
        <v>13</v>
      </c>
      <c r="C8" s="122" t="s">
        <v>19</v>
      </c>
      <c r="D8" s="132" t="s">
        <v>19</v>
      </c>
      <c r="E8" s="132" t="s">
        <v>19</v>
      </c>
      <c r="F8" s="132" t="s">
        <v>19</v>
      </c>
      <c r="G8" s="132"/>
      <c r="H8" s="176"/>
      <c r="I8" s="113"/>
    </row>
    <row r="9" spans="1:9" ht="15.75" hidden="1" thickBot="1">
      <c r="A9" s="21">
        <f t="shared" si="0"/>
        <v>2005</v>
      </c>
      <c r="B9" s="26" t="s">
        <v>31</v>
      </c>
      <c r="C9" s="23">
        <f>Indeks!H10</f>
        <v>90.29232871928535</v>
      </c>
      <c r="D9" s="133" t="str">
        <f>"-"</f>
        <v>-</v>
      </c>
      <c r="E9" s="133"/>
      <c r="F9" s="133"/>
      <c r="G9" s="133"/>
      <c r="H9" s="176"/>
      <c r="I9" s="113"/>
    </row>
    <row r="10" spans="1:9" ht="15.75" hidden="1" thickBot="1">
      <c r="A10" s="12">
        <f t="shared" si="0"/>
        <v>2005</v>
      </c>
      <c r="B10" s="13" t="s">
        <v>14</v>
      </c>
      <c r="C10" s="14">
        <f>Indeks!H11</f>
        <v>90.92752527499178</v>
      </c>
      <c r="D10" s="83">
        <f aca="true" t="shared" si="1" ref="D10:D68">(C10-C9)/C9</f>
        <v>0.007034889505189588</v>
      </c>
      <c r="E10" s="131"/>
      <c r="F10" s="131"/>
      <c r="G10" s="131"/>
      <c r="H10" s="176"/>
      <c r="I10" s="113"/>
    </row>
    <row r="11" spans="1:9" ht="15.75" hidden="1" thickBot="1">
      <c r="A11" s="16">
        <f t="shared" si="0"/>
        <v>2005</v>
      </c>
      <c r="B11" s="17" t="s">
        <v>15</v>
      </c>
      <c r="C11" s="18">
        <f>Indeks!H12</f>
        <v>91.41465307992169</v>
      </c>
      <c r="D11" s="84">
        <f t="shared" si="1"/>
        <v>0.005357319507560481</v>
      </c>
      <c r="E11" s="132" t="s">
        <v>19</v>
      </c>
      <c r="F11" s="132"/>
      <c r="G11" s="132"/>
      <c r="H11" s="176"/>
      <c r="I11" s="113"/>
    </row>
    <row r="12" spans="1:9" ht="15.75" hidden="1" thickBot="1">
      <c r="A12" s="12">
        <f t="shared" si="0"/>
        <v>2005</v>
      </c>
      <c r="B12" s="13" t="s">
        <v>16</v>
      </c>
      <c r="C12" s="14">
        <f>Indeks!H13</f>
        <v>91.64064115937717</v>
      </c>
      <c r="D12" s="83">
        <f t="shared" si="1"/>
        <v>0.0024721209548090716</v>
      </c>
      <c r="E12" s="131"/>
      <c r="F12" s="131"/>
      <c r="G12" s="131"/>
      <c r="H12" s="176"/>
      <c r="I12" s="113"/>
    </row>
    <row r="13" spans="1:9" ht="15.75" hidden="1" thickBot="1">
      <c r="A13" s="12">
        <f t="shared" si="0"/>
        <v>2005</v>
      </c>
      <c r="B13" s="13" t="s">
        <v>17</v>
      </c>
      <c r="C13" s="14">
        <f>Indeks!H14</f>
        <v>92.1970792988954</v>
      </c>
      <c r="D13" s="83">
        <f t="shared" si="1"/>
        <v>0.006071958167015699</v>
      </c>
      <c r="E13" s="131"/>
      <c r="F13" s="131"/>
      <c r="G13" s="131"/>
      <c r="H13" s="176"/>
      <c r="I13" s="113"/>
    </row>
    <row r="14" spans="1:9" ht="15.75" hidden="1" thickBot="1">
      <c r="A14" s="38">
        <f t="shared" si="0"/>
        <v>2005</v>
      </c>
      <c r="B14" s="39" t="s">
        <v>18</v>
      </c>
      <c r="C14" s="40">
        <f>Indeks!H15</f>
        <v>92.98693291793309</v>
      </c>
      <c r="D14" s="89">
        <f t="shared" si="1"/>
        <v>0.008567013456869332</v>
      </c>
      <c r="E14" s="89">
        <f>(SUM(C12:C14)-SUM(C9:C11))/SUM(C9:C11)</f>
        <v>0.015369097430012659</v>
      </c>
      <c r="F14" s="134" t="str">
        <f>"-"</f>
        <v>-</v>
      </c>
      <c r="G14" s="134" t="str">
        <f>"-"</f>
        <v>-</v>
      </c>
      <c r="H14" s="176"/>
      <c r="I14" s="113"/>
    </row>
    <row r="15" spans="1:9" ht="15.75" hidden="1" thickBot="1">
      <c r="A15" s="8">
        <v>2006</v>
      </c>
      <c r="B15" s="13" t="s">
        <v>8</v>
      </c>
      <c r="C15" s="14">
        <f>Indeks!H16</f>
        <v>92.66880541670587</v>
      </c>
      <c r="D15" s="83">
        <f t="shared" si="1"/>
        <v>-0.0034212065205763012</v>
      </c>
      <c r="E15" s="83"/>
      <c r="F15" s="83"/>
      <c r="G15" s="83"/>
      <c r="H15" s="176"/>
      <c r="I15" s="113"/>
    </row>
    <row r="16" spans="1:9" ht="15.75" hidden="1" thickBot="1">
      <c r="A16" s="12">
        <f>A15</f>
        <v>2006</v>
      </c>
      <c r="B16" s="13" t="s">
        <v>9</v>
      </c>
      <c r="C16" s="14">
        <f>Indeks!H17</f>
        <v>92.38885856631035</v>
      </c>
      <c r="D16" s="83">
        <f t="shared" si="1"/>
        <v>-0.0030209394535375207</v>
      </c>
      <c r="E16" s="83"/>
      <c r="F16" s="83"/>
      <c r="G16" s="83"/>
      <c r="H16" s="176"/>
      <c r="I16" s="113"/>
    </row>
    <row r="17" spans="1:9" ht="15.75" hidden="1" thickBot="1">
      <c r="A17" s="16">
        <f aca="true" t="shared" si="2" ref="A17:A26">A16</f>
        <v>2006</v>
      </c>
      <c r="B17" s="17" t="s">
        <v>10</v>
      </c>
      <c r="C17" s="18">
        <f>Indeks!H18</f>
        <v>92.5424329705833</v>
      </c>
      <c r="D17" s="84">
        <f t="shared" si="1"/>
        <v>0.0016622610848983903</v>
      </c>
      <c r="E17" s="84">
        <f>(SUM(C15:C17)-SUM(C12:C14))/SUM(C12:C14)</f>
        <v>0.002801208519314981</v>
      </c>
      <c r="F17" s="84"/>
      <c r="G17" s="84"/>
      <c r="H17" s="176"/>
      <c r="I17" s="113"/>
    </row>
    <row r="18" spans="1:9" ht="15.75" hidden="1" thickBot="1">
      <c r="A18" s="21">
        <f t="shared" si="2"/>
        <v>2006</v>
      </c>
      <c r="B18" s="22" t="s">
        <v>11</v>
      </c>
      <c r="C18" s="14">
        <f>Indeks!H19</f>
        <v>93.1374186184407</v>
      </c>
      <c r="D18" s="83">
        <f t="shared" si="1"/>
        <v>0.006429327917567595</v>
      </c>
      <c r="E18" s="83"/>
      <c r="F18" s="83"/>
      <c r="G18" s="85"/>
      <c r="H18" s="176"/>
      <c r="I18" s="113"/>
    </row>
    <row r="19" spans="1:9" ht="15.75" hidden="1" thickBot="1">
      <c r="A19" s="12">
        <f t="shared" si="2"/>
        <v>2006</v>
      </c>
      <c r="B19" s="13" t="s">
        <v>12</v>
      </c>
      <c r="C19" s="14">
        <f>Indeks!H20</f>
        <v>93.59195818046624</v>
      </c>
      <c r="D19" s="83">
        <f t="shared" si="1"/>
        <v>0.004880310929462825</v>
      </c>
      <c r="E19" s="83"/>
      <c r="F19" s="83"/>
      <c r="G19" s="83"/>
      <c r="H19" s="176"/>
      <c r="I19" s="113"/>
    </row>
    <row r="20" spans="1:9" ht="15.75" hidden="1" thickBot="1">
      <c r="A20" s="16">
        <f t="shared" si="2"/>
        <v>2006</v>
      </c>
      <c r="B20" s="17" t="s">
        <v>13</v>
      </c>
      <c r="C20" s="18">
        <f>Indeks!H21</f>
        <v>93.94751009928689</v>
      </c>
      <c r="D20" s="84">
        <f t="shared" si="1"/>
        <v>0.003798958005933246</v>
      </c>
      <c r="E20" s="84">
        <f>(SUM(C18:C20)-SUM(C15:C17))/SUM(C15:C17)</f>
        <v>0.011083533393392941</v>
      </c>
      <c r="F20" s="84">
        <f>(SUM(C15:C20)-SUM(C9:C14))/SUM(C9:C14)</f>
        <v>0.01604818708302304</v>
      </c>
      <c r="G20" s="84"/>
      <c r="H20" s="176"/>
      <c r="I20" s="113"/>
    </row>
    <row r="21" spans="1:9" ht="15.75" hidden="1" thickBot="1">
      <c r="A21" s="21">
        <f t="shared" si="2"/>
        <v>2006</v>
      </c>
      <c r="B21" s="26" t="s">
        <v>31</v>
      </c>
      <c r="C21" s="14">
        <f>Indeks!H22</f>
        <v>94.46974350375976</v>
      </c>
      <c r="D21" s="83">
        <f t="shared" si="1"/>
        <v>0.005558778555397129</v>
      </c>
      <c r="E21" s="83"/>
      <c r="F21" s="83"/>
      <c r="G21" s="85"/>
      <c r="H21" s="176"/>
      <c r="I21" s="113"/>
    </row>
    <row r="22" spans="1:9" ht="15.75" hidden="1" thickBot="1">
      <c r="A22" s="12">
        <f t="shared" si="2"/>
        <v>2006</v>
      </c>
      <c r="B22" s="13" t="s">
        <v>14</v>
      </c>
      <c r="C22" s="14">
        <f>Indeks!H23</f>
        <v>94.55473714396005</v>
      </c>
      <c r="D22" s="83">
        <f t="shared" si="1"/>
        <v>0.0008996916583870337</v>
      </c>
      <c r="E22" s="83"/>
      <c r="F22" s="83"/>
      <c r="G22" s="83"/>
      <c r="H22" s="176"/>
      <c r="I22" s="113"/>
    </row>
    <row r="23" spans="1:9" ht="15.75" hidden="1" thickBot="1">
      <c r="A23" s="16">
        <f t="shared" si="2"/>
        <v>2006</v>
      </c>
      <c r="B23" s="17" t="s">
        <v>15</v>
      </c>
      <c r="C23" s="18">
        <f>Indeks!H24</f>
        <v>94.60601408373262</v>
      </c>
      <c r="D23" s="84">
        <f t="shared" si="1"/>
        <v>0.0005422990039567667</v>
      </c>
      <c r="E23" s="84">
        <f>(SUM(C21:C23)-SUM(C18:C20))/SUM(C18:C20)</f>
        <v>0.01052316015721643</v>
      </c>
      <c r="F23" s="84"/>
      <c r="G23" s="84"/>
      <c r="H23" s="176"/>
      <c r="I23" s="113"/>
    </row>
    <row r="24" spans="1:9" ht="15.75" hidden="1" thickBot="1">
      <c r="A24" s="21">
        <f t="shared" si="2"/>
        <v>2006</v>
      </c>
      <c r="B24" s="22" t="s">
        <v>16</v>
      </c>
      <c r="C24" s="23">
        <f>Indeks!H25</f>
        <v>95.34758419402858</v>
      </c>
      <c r="D24" s="85">
        <f t="shared" si="1"/>
        <v>0.007838509184412193</v>
      </c>
      <c r="E24" s="85"/>
      <c r="F24" s="85"/>
      <c r="G24" s="85"/>
      <c r="H24" s="176"/>
      <c r="I24" s="113"/>
    </row>
    <row r="25" spans="1:9" ht="15.75" hidden="1" thickBot="1">
      <c r="A25" s="12">
        <f t="shared" si="2"/>
        <v>2006</v>
      </c>
      <c r="B25" s="13" t="s">
        <v>17</v>
      </c>
      <c r="C25" s="14">
        <f>Indeks!H26</f>
        <v>94.67087412039355</v>
      </c>
      <c r="D25" s="83">
        <f t="shared" si="1"/>
        <v>-0.00709729647956216</v>
      </c>
      <c r="E25" s="83"/>
      <c r="F25" s="83"/>
      <c r="G25" s="83"/>
      <c r="H25" s="176"/>
      <c r="I25" s="113"/>
    </row>
    <row r="26" spans="1:9" ht="15.75" hidden="1" thickBot="1">
      <c r="A26" s="38">
        <f t="shared" si="2"/>
        <v>2006</v>
      </c>
      <c r="B26" s="39" t="s">
        <v>18</v>
      </c>
      <c r="C26" s="40">
        <f>Indeks!H27</f>
        <v>94.38838750978866</v>
      </c>
      <c r="D26" s="89">
        <f t="shared" si="1"/>
        <v>-0.002983880873917479</v>
      </c>
      <c r="E26" s="89">
        <f>(SUM(C24:C26)-SUM(C21:C23))/SUM(C21:C23)</f>
        <v>0.002737191899952029</v>
      </c>
      <c r="F26" s="89">
        <f>(SUM(C21:C26)-SUM(C15:C20))/SUM(C15:C20)</f>
        <v>0.0174830003496275</v>
      </c>
      <c r="G26" s="134" t="str">
        <f>"-"</f>
        <v>-</v>
      </c>
      <c r="H26" s="176"/>
      <c r="I26" s="113"/>
    </row>
    <row r="27" spans="1:9" ht="15.75" hidden="1" thickBot="1">
      <c r="A27" s="8">
        <v>2007</v>
      </c>
      <c r="B27" s="13" t="s">
        <v>8</v>
      </c>
      <c r="C27" s="14">
        <f>Indeks!H28</f>
        <v>94.6484205099173</v>
      </c>
      <c r="D27" s="83">
        <f t="shared" si="1"/>
        <v>0.0027549257592908525</v>
      </c>
      <c r="E27" s="83"/>
      <c r="F27" s="83"/>
      <c r="G27" s="83"/>
      <c r="H27" s="176"/>
      <c r="I27" s="113"/>
    </row>
    <row r="28" spans="1:9" ht="15.75" hidden="1" thickBot="1">
      <c r="A28" s="12">
        <f>A27</f>
        <v>2007</v>
      </c>
      <c r="B28" s="13" t="s">
        <v>9</v>
      </c>
      <c r="C28" s="14">
        <f>Indeks!H29</f>
        <v>94.6905062499938</v>
      </c>
      <c r="D28" s="83">
        <f t="shared" si="1"/>
        <v>0.00044465337984263357</v>
      </c>
      <c r="E28" s="83"/>
      <c r="F28" s="83"/>
      <c r="G28" s="83"/>
      <c r="H28" s="176"/>
      <c r="I28" s="113"/>
    </row>
    <row r="29" spans="1:9" ht="15.75" hidden="1" thickBot="1">
      <c r="A29" s="16">
        <f aca="true" t="shared" si="3" ref="A29:A38">A28</f>
        <v>2007</v>
      </c>
      <c r="B29" s="17" t="s">
        <v>10</v>
      </c>
      <c r="C29" s="18">
        <f>Indeks!H30</f>
        <v>94.25619550700888</v>
      </c>
      <c r="D29" s="84">
        <f t="shared" si="1"/>
        <v>-0.004586634502072358</v>
      </c>
      <c r="E29" s="84">
        <f>(SUM(C27:C29)-SUM(C24:C26))/SUM(C24:C26)</f>
        <v>-0.0028540928926602672</v>
      </c>
      <c r="F29" s="84"/>
      <c r="G29" s="84"/>
      <c r="H29" s="176"/>
      <c r="I29" s="113"/>
    </row>
    <row r="30" spans="1:9" ht="15.75" hidden="1" thickBot="1">
      <c r="A30" s="21">
        <f t="shared" si="3"/>
        <v>2007</v>
      </c>
      <c r="B30" s="22" t="s">
        <v>11</v>
      </c>
      <c r="C30" s="23">
        <f>Indeks!H31</f>
        <v>95.28894409718488</v>
      </c>
      <c r="D30" s="85">
        <f t="shared" si="1"/>
        <v>0.01095682447844188</v>
      </c>
      <c r="E30" s="83"/>
      <c r="F30" s="83"/>
      <c r="G30" s="85"/>
      <c r="H30" s="176"/>
      <c r="I30" s="113"/>
    </row>
    <row r="31" spans="1:9" ht="15.75" hidden="1" thickBot="1">
      <c r="A31" s="12">
        <f t="shared" si="3"/>
        <v>2007</v>
      </c>
      <c r="B31" s="13" t="s">
        <v>12</v>
      </c>
      <c r="C31" s="14">
        <f>Indeks!H32</f>
        <v>95.46513183110342</v>
      </c>
      <c r="D31" s="83">
        <f t="shared" si="1"/>
        <v>0.001848984009507395</v>
      </c>
      <c r="E31" s="83"/>
      <c r="F31" s="83"/>
      <c r="G31" s="83"/>
      <c r="H31" s="176"/>
      <c r="I31" s="113"/>
    </row>
    <row r="32" spans="1:9" ht="15.75" hidden="1" thickBot="1">
      <c r="A32" s="16">
        <f t="shared" si="3"/>
        <v>2007</v>
      </c>
      <c r="B32" s="17" t="s">
        <v>13</v>
      </c>
      <c r="C32" s="18">
        <f>Indeks!H33</f>
        <v>95.82500231090762</v>
      </c>
      <c r="D32" s="84">
        <f t="shared" si="1"/>
        <v>0.0037696536201393648</v>
      </c>
      <c r="E32" s="84">
        <f>(SUM(C30:C32)-SUM(C27:C29))/SUM(C27:C29)</f>
        <v>0.010521887500827545</v>
      </c>
      <c r="F32" s="84">
        <f>(SUM(C27:C32)-SUM(C21:C26))/SUM(C21:C26)</f>
        <v>0.0037618300732876232</v>
      </c>
      <c r="G32" s="84"/>
      <c r="H32" s="176"/>
      <c r="I32" s="113"/>
    </row>
    <row r="33" spans="1:9" ht="15.75" hidden="1" thickBot="1">
      <c r="A33" s="21">
        <f t="shared" si="3"/>
        <v>2007</v>
      </c>
      <c r="B33" s="26" t="s">
        <v>31</v>
      </c>
      <c r="C33" s="23">
        <f>Indeks!H34</f>
        <v>96.5635045311178</v>
      </c>
      <c r="D33" s="85">
        <f t="shared" si="1"/>
        <v>0.007706780092883095</v>
      </c>
      <c r="E33" s="85"/>
      <c r="F33" s="85"/>
      <c r="G33" s="85"/>
      <c r="H33" s="176"/>
      <c r="I33" s="113"/>
    </row>
    <row r="34" spans="1:9" ht="15.75" hidden="1" thickBot="1">
      <c r="A34" s="12">
        <f t="shared" si="3"/>
        <v>2007</v>
      </c>
      <c r="B34" s="13" t="s">
        <v>14</v>
      </c>
      <c r="C34" s="14">
        <f>Indeks!H35</f>
        <v>97.06601208645553</v>
      </c>
      <c r="D34" s="83">
        <f t="shared" si="1"/>
        <v>0.0052039076023363984</v>
      </c>
      <c r="E34" s="83"/>
      <c r="F34" s="83"/>
      <c r="G34" s="83"/>
      <c r="H34" s="176"/>
      <c r="I34" s="113"/>
    </row>
    <row r="35" spans="1:9" ht="15.75" hidden="1" thickBot="1">
      <c r="A35" s="16">
        <f t="shared" si="3"/>
        <v>2007</v>
      </c>
      <c r="B35" s="17" t="s">
        <v>15</v>
      </c>
      <c r="C35" s="18">
        <f>Indeks!H36</f>
        <v>97.04845103115862</v>
      </c>
      <c r="D35" s="84">
        <f t="shared" si="1"/>
        <v>-0.00018091868533001612</v>
      </c>
      <c r="E35" s="84">
        <f>(SUM(C33:C35)-SUM(C30:C32))/SUM(C30:C32)</f>
        <v>0.014302821527379038</v>
      </c>
      <c r="F35" s="84"/>
      <c r="G35" s="84"/>
      <c r="H35" s="176"/>
      <c r="I35" s="113"/>
    </row>
    <row r="36" spans="1:9" ht="15.75" hidden="1" thickBot="1">
      <c r="A36" s="21">
        <f t="shared" si="3"/>
        <v>2007</v>
      </c>
      <c r="B36" s="22" t="s">
        <v>16</v>
      </c>
      <c r="C36" s="23">
        <f>Indeks!H37</f>
        <v>97.59638457372101</v>
      </c>
      <c r="D36" s="85">
        <f t="shared" si="1"/>
        <v>0.005645979268504442</v>
      </c>
      <c r="E36" s="85"/>
      <c r="F36" s="85"/>
      <c r="G36" s="85"/>
      <c r="H36" s="176"/>
      <c r="I36" s="113"/>
    </row>
    <row r="37" spans="1:9" ht="15.75" hidden="1" thickBot="1">
      <c r="A37" s="12">
        <f t="shared" si="3"/>
        <v>2007</v>
      </c>
      <c r="B37" s="13" t="s">
        <v>17</v>
      </c>
      <c r="C37" s="14">
        <f>Indeks!H38</f>
        <v>97.98452881941242</v>
      </c>
      <c r="D37" s="83">
        <f t="shared" si="1"/>
        <v>0.003977035085743532</v>
      </c>
      <c r="E37" s="83"/>
      <c r="F37" s="83"/>
      <c r="G37" s="83"/>
      <c r="H37" s="176"/>
      <c r="I37" s="113"/>
    </row>
    <row r="38" spans="1:9" ht="15.75" hidden="1" thickBot="1">
      <c r="A38" s="38">
        <f t="shared" si="3"/>
        <v>2007</v>
      </c>
      <c r="B38" s="39" t="s">
        <v>18</v>
      </c>
      <c r="C38" s="40">
        <f>Indeks!H39</f>
        <v>98.08697283984218</v>
      </c>
      <c r="D38" s="89">
        <f t="shared" si="1"/>
        <v>0.0010455122014064503</v>
      </c>
      <c r="E38" s="89">
        <f>(SUM(C36:C38)-SUM(C33:C35))/SUM(C33:C35)</f>
        <v>0.010286017232158402</v>
      </c>
      <c r="F38" s="89">
        <f>(SUM(C33:C38)-SUM(C27:C32))/SUM(C27:C32)</f>
        <v>0.024854953736966955</v>
      </c>
      <c r="G38" s="89">
        <f>(SUM(C27:C38)-SUM(C15:C26))/SUM(C15:C26)</f>
        <v>0.025042503117596294</v>
      </c>
      <c r="H38" s="176"/>
      <c r="I38" s="113"/>
    </row>
    <row r="39" spans="1:9" ht="16.5" hidden="1" thickBot="1">
      <c r="A39" s="8">
        <v>2008</v>
      </c>
      <c r="B39" s="8" t="s">
        <v>8</v>
      </c>
      <c r="C39" s="9">
        <f>Indeks!H40</f>
        <v>100</v>
      </c>
      <c r="D39" s="58">
        <f t="shared" si="1"/>
        <v>0.019503376490998887</v>
      </c>
      <c r="E39" s="90"/>
      <c r="F39" s="90"/>
      <c r="G39" s="90"/>
      <c r="H39" s="176"/>
      <c r="I39" s="114"/>
    </row>
    <row r="40" spans="1:9" ht="15.75" hidden="1" thickBot="1">
      <c r="A40" s="12">
        <f>A39</f>
        <v>2008</v>
      </c>
      <c r="B40" s="13" t="s">
        <v>9</v>
      </c>
      <c r="C40" s="14">
        <f>Indeks!H41</f>
        <v>99.38344675067273</v>
      </c>
      <c r="D40" s="83">
        <f t="shared" si="1"/>
        <v>-0.006165532493272678</v>
      </c>
      <c r="E40" s="83"/>
      <c r="F40" s="83"/>
      <c r="G40" s="83"/>
      <c r="H40" s="176"/>
      <c r="I40" s="55"/>
    </row>
    <row r="41" spans="1:9" ht="15.75" hidden="1" thickBot="1">
      <c r="A41" s="16">
        <f aca="true" t="shared" si="4" ref="A41:A50">A40</f>
        <v>2008</v>
      </c>
      <c r="B41" s="17" t="s">
        <v>10</v>
      </c>
      <c r="C41" s="18">
        <f>Indeks!H42</f>
        <v>99.52425788527258</v>
      </c>
      <c r="D41" s="84">
        <f t="shared" si="1"/>
        <v>0.0014168469619805207</v>
      </c>
      <c r="E41" s="84">
        <f>(SUM(C39:C41)-SUM(C36:C38))/SUM(C36:C38)</f>
        <v>0.01784266734161328</v>
      </c>
      <c r="F41" s="84"/>
      <c r="G41" s="84"/>
      <c r="H41" s="176"/>
      <c r="I41" s="55"/>
    </row>
    <row r="42" spans="1:9" ht="15.75" hidden="1" thickBot="1">
      <c r="A42" s="21">
        <f t="shared" si="4"/>
        <v>2008</v>
      </c>
      <c r="B42" s="22" t="s">
        <v>11</v>
      </c>
      <c r="C42" s="23">
        <f>Indeks!H43</f>
        <v>100.34467210919578</v>
      </c>
      <c r="D42" s="85">
        <f t="shared" si="1"/>
        <v>0.008243359371430307</v>
      </c>
      <c r="E42" s="85"/>
      <c r="F42" s="85"/>
      <c r="G42" s="85"/>
      <c r="H42" s="176"/>
      <c r="I42" s="55"/>
    </row>
    <row r="43" spans="1:9" ht="15.75" hidden="1" thickBot="1">
      <c r="A43" s="12">
        <f t="shared" si="4"/>
        <v>2008</v>
      </c>
      <c r="B43" s="13" t="s">
        <v>12</v>
      </c>
      <c r="C43" s="14">
        <f>Indeks!H44</f>
        <v>101.60504538372001</v>
      </c>
      <c r="D43" s="83">
        <f t="shared" si="1"/>
        <v>0.012560440410355617</v>
      </c>
      <c r="E43" s="83"/>
      <c r="F43" s="83"/>
      <c r="G43" s="83"/>
      <c r="H43" s="176"/>
      <c r="I43" s="55"/>
    </row>
    <row r="44" spans="1:9" ht="15.75" hidden="1" thickBot="1">
      <c r="A44" s="16">
        <f t="shared" si="4"/>
        <v>2008</v>
      </c>
      <c r="B44" s="17" t="s">
        <v>13</v>
      </c>
      <c r="C44" s="18">
        <f>Indeks!H45</f>
        <v>102.05760964772745</v>
      </c>
      <c r="D44" s="84">
        <f t="shared" si="1"/>
        <v>0.004454151487244439</v>
      </c>
      <c r="E44" s="84">
        <f>(SUM(C42:C44)-SUM(C39:C41))/SUM(C39:C41)</f>
        <v>0.01706086000997878</v>
      </c>
      <c r="F44" s="84">
        <f>(SUM(C39:C44)-SUM(C33:C38))/SUM(C33:C38)</f>
        <v>0.03177771823232631</v>
      </c>
      <c r="G44" s="84"/>
      <c r="H44" s="176"/>
      <c r="I44" s="55"/>
    </row>
    <row r="45" spans="1:9" ht="15.75" hidden="1" thickBot="1">
      <c r="A45" s="21">
        <f t="shared" si="4"/>
        <v>2008</v>
      </c>
      <c r="B45" s="26" t="s">
        <v>31</v>
      </c>
      <c r="C45" s="28">
        <f>Indeks!H46</f>
        <v>103.85741111629646</v>
      </c>
      <c r="D45" s="85">
        <f t="shared" si="1"/>
        <v>0.017635152094796217</v>
      </c>
      <c r="E45" s="85"/>
      <c r="F45" s="85"/>
      <c r="G45" s="85"/>
      <c r="H45" s="176"/>
      <c r="I45" s="55"/>
    </row>
    <row r="46" spans="1:9" ht="15.75" hidden="1" thickBot="1">
      <c r="A46" s="12">
        <f t="shared" si="4"/>
        <v>2008</v>
      </c>
      <c r="B46" s="13" t="s">
        <v>14</v>
      </c>
      <c r="C46" s="14">
        <f>Indeks!H47</f>
        <v>105.15926978784404</v>
      </c>
      <c r="D46" s="83">
        <f t="shared" si="1"/>
        <v>0.012535057994944577</v>
      </c>
      <c r="E46" s="83"/>
      <c r="F46" s="83"/>
      <c r="G46" s="83"/>
      <c r="H46" s="176"/>
      <c r="I46" s="55"/>
    </row>
    <row r="47" spans="1:9" ht="15.75" hidden="1" thickBot="1">
      <c r="A47" s="16">
        <f t="shared" si="4"/>
        <v>2008</v>
      </c>
      <c r="B47" s="17" t="s">
        <v>15</v>
      </c>
      <c r="C47" s="18">
        <f>Indeks!H48</f>
        <v>105.1010292774719</v>
      </c>
      <c r="D47" s="84">
        <f t="shared" si="1"/>
        <v>-0.0005538314452890631</v>
      </c>
      <c r="E47" s="84">
        <f>(SUM(C45:C47)-SUM(C42:C44))/SUM(C42:C44)</f>
        <v>0.033257037374930735</v>
      </c>
      <c r="F47" s="84"/>
      <c r="G47" s="84"/>
      <c r="H47" s="176"/>
      <c r="I47" s="55"/>
    </row>
    <row r="48" spans="1:9" ht="15.75" hidden="1" thickBot="1">
      <c r="A48" s="21">
        <f t="shared" si="4"/>
        <v>2008</v>
      </c>
      <c r="B48" s="22" t="s">
        <v>16</v>
      </c>
      <c r="C48" s="23">
        <f>Indeks!H49</f>
        <v>104.1004022871024</v>
      </c>
      <c r="D48" s="85">
        <f t="shared" si="1"/>
        <v>-0.00952062027601835</v>
      </c>
      <c r="E48" s="85"/>
      <c r="F48" s="85"/>
      <c r="G48" s="85"/>
      <c r="H48" s="176"/>
      <c r="I48" s="55"/>
    </row>
    <row r="49" spans="1:9" ht="15.75" hidden="1" thickBot="1">
      <c r="A49" s="12">
        <f t="shared" si="4"/>
        <v>2008</v>
      </c>
      <c r="B49" s="13" t="s">
        <v>17</v>
      </c>
      <c r="C49" s="14">
        <f>Indeks!H50</f>
        <v>104.06496664481814</v>
      </c>
      <c r="D49" s="83">
        <f t="shared" si="1"/>
        <v>-0.0003403987064961227</v>
      </c>
      <c r="E49" s="83"/>
      <c r="F49" s="83"/>
      <c r="G49" s="83"/>
      <c r="H49" s="176"/>
      <c r="I49" s="55"/>
    </row>
    <row r="50" spans="1:9" ht="15.75" hidden="1" thickBot="1">
      <c r="A50" s="38">
        <f t="shared" si="4"/>
        <v>2008</v>
      </c>
      <c r="B50" s="39" t="s">
        <v>18</v>
      </c>
      <c r="C50" s="40">
        <f>Indeks!H51</f>
        <v>103.31750424738101</v>
      </c>
      <c r="D50" s="89">
        <f t="shared" si="1"/>
        <v>-0.007182651583296808</v>
      </c>
      <c r="E50" s="89">
        <f>(SUM(C48:C50)-SUM(C45:C47))/SUM(C45:C47)</f>
        <v>-0.008388056186922682</v>
      </c>
      <c r="F50" s="89">
        <f>(SUM(C45:C50)-SUM(C39:C44))/SUM(C39:C44)</f>
        <v>0.03762644881730476</v>
      </c>
      <c r="G50" s="89">
        <f>(SUM(C39:C50)-SUM(C27:C38))/SUM(C27:C38)</f>
        <v>0.06409205320293435</v>
      </c>
      <c r="H50" s="176"/>
      <c r="I50" s="55"/>
    </row>
    <row r="51" spans="1:9" ht="15.75" hidden="1" thickBot="1">
      <c r="A51" s="8">
        <v>2009</v>
      </c>
      <c r="B51" s="13" t="s">
        <v>8</v>
      </c>
      <c r="C51" s="14">
        <f>Indeks!H52</f>
        <v>102.44626518020767</v>
      </c>
      <c r="D51" s="58">
        <f t="shared" si="1"/>
        <v>-0.008432637562433372</v>
      </c>
      <c r="E51" s="83"/>
      <c r="F51" s="83"/>
      <c r="G51" s="83"/>
      <c r="H51" s="176"/>
      <c r="I51" s="55"/>
    </row>
    <row r="52" spans="1:9" ht="15.75" hidden="1" thickBot="1">
      <c r="A52" s="12">
        <f>A51</f>
        <v>2009</v>
      </c>
      <c r="B52" s="13" t="s">
        <v>9</v>
      </c>
      <c r="C52" s="14">
        <f>Indeks!H53</f>
        <v>100.44236907631158</v>
      </c>
      <c r="D52" s="83">
        <f t="shared" si="1"/>
        <v>-0.019560460309325588</v>
      </c>
      <c r="E52" s="83"/>
      <c r="F52" s="83"/>
      <c r="G52" s="83"/>
      <c r="H52" s="176"/>
      <c r="I52" s="55"/>
    </row>
    <row r="53" spans="1:9" ht="15.75" hidden="1" thickBot="1">
      <c r="A53" s="16">
        <f aca="true" t="shared" si="5" ref="A53:A62">A52</f>
        <v>2009</v>
      </c>
      <c r="B53" s="17" t="s">
        <v>10</v>
      </c>
      <c r="C53" s="18">
        <f>Indeks!H54</f>
        <v>100.0388245426143</v>
      </c>
      <c r="D53" s="84">
        <f t="shared" si="1"/>
        <v>-0.004017672396702338</v>
      </c>
      <c r="E53" s="84">
        <f>(SUM(C51:C53)-SUM(C48:C50))/SUM(C48:C50)</f>
        <v>-0.027466724872680894</v>
      </c>
      <c r="F53" s="84"/>
      <c r="G53" s="84"/>
      <c r="H53" s="176"/>
      <c r="I53" s="55"/>
    </row>
    <row r="54" spans="1:9" ht="15.75" hidden="1" thickBot="1">
      <c r="A54" s="21">
        <f t="shared" si="5"/>
        <v>2009</v>
      </c>
      <c r="B54" s="22" t="s">
        <v>11</v>
      </c>
      <c r="C54" s="23">
        <f>Indeks!H55</f>
        <v>100.45099393243727</v>
      </c>
      <c r="D54" s="85">
        <f t="shared" si="1"/>
        <v>0.004120094290466228</v>
      </c>
      <c r="E54" s="85"/>
      <c r="F54" s="85"/>
      <c r="G54" s="85"/>
      <c r="H54" s="176"/>
      <c r="I54" s="55"/>
    </row>
    <row r="55" spans="1:9" ht="15.75" hidden="1" thickBot="1">
      <c r="A55" s="12">
        <f t="shared" si="5"/>
        <v>2009</v>
      </c>
      <c r="B55" s="13" t="s">
        <v>12</v>
      </c>
      <c r="C55" s="14">
        <f>Indeks!H56</f>
        <v>99.94142613300198</v>
      </c>
      <c r="D55" s="83">
        <f t="shared" si="1"/>
        <v>-0.005072799974264272</v>
      </c>
      <c r="E55" s="83"/>
      <c r="F55" s="83"/>
      <c r="G55" s="83"/>
      <c r="H55" s="176"/>
      <c r="I55" s="55"/>
    </row>
    <row r="56" spans="1:9" ht="15.75" hidden="1" thickBot="1">
      <c r="A56" s="16">
        <f t="shared" si="5"/>
        <v>2009</v>
      </c>
      <c r="B56" s="17" t="s">
        <v>13</v>
      </c>
      <c r="C56" s="18">
        <f>Indeks!H57</f>
        <v>100.23724543427278</v>
      </c>
      <c r="D56" s="84">
        <f t="shared" si="1"/>
        <v>0.002959926756269422</v>
      </c>
      <c r="E56" s="84">
        <f>(SUM(C54:C56)-SUM(C51:C53))/SUM(C51:C53)</f>
        <v>-0.007585292229798021</v>
      </c>
      <c r="F56" s="84">
        <f>(SUM(C51:C56)-SUM(C45:C50))/SUM(C45:C50)</f>
        <v>-0.035235675362776</v>
      </c>
      <c r="G56" s="84"/>
      <c r="H56" s="176"/>
      <c r="I56" s="55"/>
    </row>
    <row r="57" spans="1:9" ht="15.75" hidden="1" thickBot="1">
      <c r="A57" s="21">
        <f t="shared" si="5"/>
        <v>2009</v>
      </c>
      <c r="B57" s="26" t="s">
        <v>31</v>
      </c>
      <c r="C57" s="23">
        <f>Indeks!H58</f>
        <v>100.91462050192989</v>
      </c>
      <c r="D57" s="85">
        <f t="shared" si="1"/>
        <v>0.006757718298447016</v>
      </c>
      <c r="E57" s="85"/>
      <c r="F57" s="85"/>
      <c r="G57" s="85"/>
      <c r="H57" s="176"/>
      <c r="I57" s="55"/>
    </row>
    <row r="58" spans="1:9" ht="15.75" hidden="1" thickBot="1">
      <c r="A58" s="32">
        <f t="shared" si="5"/>
        <v>2009</v>
      </c>
      <c r="B58" s="33" t="s">
        <v>14</v>
      </c>
      <c r="C58" s="34">
        <f>Indeks!H59</f>
        <v>101.14278843378494</v>
      </c>
      <c r="D58" s="83">
        <f t="shared" si="1"/>
        <v>0.0022609997512767835</v>
      </c>
      <c r="E58" s="116"/>
      <c r="F58" s="116"/>
      <c r="G58" s="116"/>
      <c r="H58" s="176"/>
      <c r="I58" s="55"/>
    </row>
    <row r="59" spans="1:9" ht="15.75" hidden="1" thickBot="1">
      <c r="A59" s="63">
        <f t="shared" si="5"/>
        <v>2009</v>
      </c>
      <c r="B59" s="64" t="s">
        <v>15</v>
      </c>
      <c r="C59" s="65">
        <f>Indeks!H60</f>
        <v>100.47195565458402</v>
      </c>
      <c r="D59" s="84">
        <f t="shared" si="1"/>
        <v>-0.006632531983633168</v>
      </c>
      <c r="E59" s="117">
        <f>(SUM(C57:C59)-SUM(C54:C56))/SUM(C54:C56)</f>
        <v>0.006319067306378742</v>
      </c>
      <c r="F59" s="117"/>
      <c r="G59" s="117"/>
      <c r="H59" s="176"/>
      <c r="I59" s="66"/>
    </row>
    <row r="60" spans="1:9" ht="15.75" hidden="1" thickBot="1">
      <c r="A60" s="70">
        <f t="shared" si="5"/>
        <v>2009</v>
      </c>
      <c r="B60" s="71" t="s">
        <v>16</v>
      </c>
      <c r="C60" s="68">
        <f>Indeks!H61</f>
        <v>101.22472416038572</v>
      </c>
      <c r="D60" s="85">
        <f t="shared" si="1"/>
        <v>0.007492324608367988</v>
      </c>
      <c r="E60" s="118"/>
      <c r="F60" s="118"/>
      <c r="G60" s="118"/>
      <c r="H60" s="176"/>
      <c r="I60" s="66"/>
    </row>
    <row r="61" spans="1:9" ht="15.75" hidden="1" thickBot="1">
      <c r="A61" s="32">
        <f t="shared" si="5"/>
        <v>2009</v>
      </c>
      <c r="B61" s="33" t="s">
        <v>17</v>
      </c>
      <c r="C61" s="34">
        <f>Indeks!H62</f>
        <v>100.63721473803184</v>
      </c>
      <c r="D61" s="83">
        <f t="shared" si="1"/>
        <v>-0.0058040110973579416</v>
      </c>
      <c r="E61" s="116"/>
      <c r="F61" s="116"/>
      <c r="G61" s="116"/>
      <c r="H61" s="176"/>
      <c r="I61" s="66"/>
    </row>
    <row r="62" spans="1:9" ht="15.75" hidden="1" thickBot="1">
      <c r="A62" s="72">
        <f t="shared" si="5"/>
        <v>2009</v>
      </c>
      <c r="B62" s="73" t="s">
        <v>18</v>
      </c>
      <c r="C62" s="69">
        <f>Indeks!H63</f>
        <v>101.17875591000654</v>
      </c>
      <c r="D62" s="93">
        <f t="shared" si="1"/>
        <v>0.005381122414649318</v>
      </c>
      <c r="E62" s="138">
        <f>(SUM(C60:C62)-SUM(C57:C59))/SUM(C57:C59)</f>
        <v>0.0016901837572619275</v>
      </c>
      <c r="F62" s="138">
        <f>(SUM(C57:C62)-SUM(C51:C56))/SUM(C51:C56)</f>
        <v>0.003335119442448493</v>
      </c>
      <c r="G62" s="93">
        <f>(SUM(C51:C62)-SUM(C39:C50))/SUM(C39:C50)</f>
        <v>-0.015781998373512084</v>
      </c>
      <c r="H62" s="176"/>
      <c r="I62" s="66"/>
    </row>
    <row r="63" spans="1:9" ht="15.75" hidden="1" thickBot="1">
      <c r="A63" s="87">
        <v>2010</v>
      </c>
      <c r="B63" s="88" t="s">
        <v>8</v>
      </c>
      <c r="C63" s="14">
        <f>Indeks!H64</f>
        <v>101.71793762201607</v>
      </c>
      <c r="D63" s="116">
        <f t="shared" si="1"/>
        <v>0.0053290012034650615</v>
      </c>
      <c r="E63" s="148"/>
      <c r="F63" s="148"/>
      <c r="G63" s="148"/>
      <c r="H63" s="78"/>
      <c r="I63" s="55"/>
    </row>
    <row r="64" spans="1:9" ht="15.75" hidden="1" thickBot="1">
      <c r="A64" s="32">
        <f>A63</f>
        <v>2010</v>
      </c>
      <c r="B64" s="33" t="s">
        <v>9</v>
      </c>
      <c r="C64" s="14">
        <f>Indeks!H65</f>
        <v>101.34486093673642</v>
      </c>
      <c r="D64" s="116">
        <f t="shared" si="1"/>
        <v>-0.0036677570741356883</v>
      </c>
      <c r="E64" s="148"/>
      <c r="F64" s="148"/>
      <c r="G64" s="148"/>
      <c r="H64" s="78"/>
      <c r="I64" s="55"/>
    </row>
    <row r="65" spans="1:9" ht="15.75" hidden="1" thickBot="1">
      <c r="A65" s="63">
        <f aca="true" t="shared" si="6" ref="A65:A74">A64</f>
        <v>2010</v>
      </c>
      <c r="B65" s="64" t="s">
        <v>10</v>
      </c>
      <c r="C65" s="18">
        <f>Indeks!H66</f>
        <v>102.04076296881883</v>
      </c>
      <c r="D65" s="117">
        <f t="shared" si="1"/>
        <v>0.00686667311642779</v>
      </c>
      <c r="E65" s="91">
        <f>(SUM(C63:C65)-SUM(C60:C62))/SUM(C60:C62)</f>
        <v>0.006807226733859183</v>
      </c>
      <c r="F65" s="91"/>
      <c r="G65" s="91"/>
      <c r="H65" s="139"/>
      <c r="I65" s="55"/>
    </row>
    <row r="66" spans="1:9" ht="15.75" hidden="1" thickBot="1">
      <c r="A66" s="70">
        <f t="shared" si="6"/>
        <v>2010</v>
      </c>
      <c r="B66" s="71" t="s">
        <v>11</v>
      </c>
      <c r="C66" s="23">
        <f>Indeks!H67</f>
        <v>101.97301151351795</v>
      </c>
      <c r="D66" s="118">
        <f t="shared" si="1"/>
        <v>-0.0006639646091394114</v>
      </c>
      <c r="E66" s="151"/>
      <c r="F66" s="151"/>
      <c r="G66" s="151"/>
      <c r="H66" s="76"/>
      <c r="I66" s="55"/>
    </row>
    <row r="67" spans="1:9" ht="15.75" hidden="1" thickBot="1">
      <c r="A67" s="32">
        <f t="shared" si="6"/>
        <v>2010</v>
      </c>
      <c r="B67" s="33" t="s">
        <v>12</v>
      </c>
      <c r="C67" s="14">
        <f>Indeks!H68</f>
        <v>102.59018325031738</v>
      </c>
      <c r="D67" s="116">
        <f t="shared" si="1"/>
        <v>0.006052304699441185</v>
      </c>
      <c r="E67" s="148"/>
      <c r="F67" s="148"/>
      <c r="G67" s="148"/>
      <c r="H67" s="78"/>
      <c r="I67" s="55"/>
    </row>
    <row r="68" spans="1:9" ht="15.75" hidden="1" thickBot="1">
      <c r="A68" s="63">
        <f t="shared" si="6"/>
        <v>2010</v>
      </c>
      <c r="B68" s="64" t="s">
        <v>13</v>
      </c>
      <c r="C68" s="18">
        <f>Indeks!H69</f>
        <v>103.02122460369421</v>
      </c>
      <c r="D68" s="117">
        <f t="shared" si="1"/>
        <v>0.004201584788332985</v>
      </c>
      <c r="E68" s="91">
        <f>(SUM(C66:C68)-SUM(C63:C65))/SUM(C63:C65)</f>
        <v>0.008131199214906864</v>
      </c>
      <c r="F68" s="91">
        <f>(SUM(C63:C68)-SUM(C57:C62))/SUM(C57:C62)</f>
        <v>0.011754084248229452</v>
      </c>
      <c r="G68" s="91"/>
      <c r="H68" s="139"/>
      <c r="I68" s="55"/>
    </row>
    <row r="69" spans="1:9" ht="15.75" hidden="1" thickBot="1">
      <c r="A69" s="70">
        <f t="shared" si="6"/>
        <v>2010</v>
      </c>
      <c r="B69" s="75" t="s">
        <v>31</v>
      </c>
      <c r="C69" s="23">
        <f>Indeks!H70</f>
        <v>103.54391995625241</v>
      </c>
      <c r="D69" s="118">
        <f aca="true" t="shared" si="7" ref="D69:D86">(C69-C68)/C68</f>
        <v>0.005073666660136544</v>
      </c>
      <c r="E69" s="151"/>
      <c r="F69" s="151"/>
      <c r="G69" s="151"/>
      <c r="H69" s="76"/>
      <c r="I69" s="55"/>
    </row>
    <row r="70" spans="1:9" ht="15.75" hidden="1" thickBot="1">
      <c r="A70" s="32">
        <f t="shared" si="6"/>
        <v>2010</v>
      </c>
      <c r="B70" s="33" t="s">
        <v>14</v>
      </c>
      <c r="C70" s="34">
        <f>Indeks!H71</f>
        <v>103.68044887758985</v>
      </c>
      <c r="D70" s="116">
        <f t="shared" si="7"/>
        <v>0.0013185604852040344</v>
      </c>
      <c r="E70" s="148"/>
      <c r="F70" s="148"/>
      <c r="G70" s="148"/>
      <c r="H70" s="78"/>
      <c r="I70" s="55"/>
    </row>
    <row r="71" spans="1:9" ht="15.75" hidden="1" thickBot="1">
      <c r="A71" s="63">
        <f t="shared" si="6"/>
        <v>2010</v>
      </c>
      <c r="B71" s="64" t="s">
        <v>15</v>
      </c>
      <c r="C71" s="65">
        <f>Indeks!H72</f>
        <v>103.44437520283692</v>
      </c>
      <c r="D71" s="117">
        <f t="shared" si="7"/>
        <v>-0.0022769353075588064</v>
      </c>
      <c r="E71" s="91">
        <f>(SUM(C69:C71)-SUM(C66:C68))/SUM(C66:C68)</f>
        <v>0.010027571212780431</v>
      </c>
      <c r="F71" s="91"/>
      <c r="G71" s="91"/>
      <c r="H71" s="139"/>
      <c r="I71" s="66"/>
    </row>
    <row r="72" spans="1:9" ht="15.75" hidden="1" thickBot="1">
      <c r="A72" s="70">
        <f t="shared" si="6"/>
        <v>2010</v>
      </c>
      <c r="B72" s="71" t="s">
        <v>16</v>
      </c>
      <c r="C72" s="68">
        <f>Indeks!H73</f>
        <v>103.17975935042105</v>
      </c>
      <c r="D72" s="118">
        <f t="shared" si="7"/>
        <v>-0.0025580496947949583</v>
      </c>
      <c r="E72" s="151"/>
      <c r="F72" s="151"/>
      <c r="G72" s="151"/>
      <c r="H72" s="76"/>
      <c r="I72" s="66"/>
    </row>
    <row r="73" spans="1:9" ht="15.75" hidden="1" thickBot="1">
      <c r="A73" s="32">
        <f t="shared" si="6"/>
        <v>2010</v>
      </c>
      <c r="B73" s="33" t="s">
        <v>17</v>
      </c>
      <c r="C73" s="34">
        <f>Indeks!H74</f>
        <v>103.80777308415638</v>
      </c>
      <c r="D73" s="148">
        <f t="shared" si="7"/>
        <v>0.006086598163138348</v>
      </c>
      <c r="E73" s="148"/>
      <c r="F73" s="148"/>
      <c r="G73" s="148"/>
      <c r="H73" s="78"/>
      <c r="I73" s="66"/>
    </row>
    <row r="74" spans="1:9" ht="15.75" hidden="1" thickBot="1">
      <c r="A74" s="72">
        <f t="shared" si="6"/>
        <v>2010</v>
      </c>
      <c r="B74" s="73" t="s">
        <v>18</v>
      </c>
      <c r="C74" s="69">
        <f>Indeks!H75</f>
        <v>103.82446466259715</v>
      </c>
      <c r="D74" s="93">
        <f t="shared" si="7"/>
        <v>0.00016079314626313057</v>
      </c>
      <c r="E74" s="138">
        <f>(SUM(C72:C74)-SUM(C69:C71))/SUM(C69:C71)</f>
        <v>0.00046111191822529647</v>
      </c>
      <c r="F74" s="138">
        <f>(SUM(C69:C74)-SUM(C63:C68))/SUM(C63:C68)</f>
        <v>0.014351122452095699</v>
      </c>
      <c r="G74" s="138">
        <f>(SUM(C63:C74)-SUM(C51:C62))/SUM(C51:C62)</f>
        <v>0.020710425395290468</v>
      </c>
      <c r="H74" s="135"/>
      <c r="I74" s="66"/>
    </row>
    <row r="75" spans="1:9" ht="15.75" hidden="1" thickBot="1">
      <c r="A75" s="74">
        <v>2011</v>
      </c>
      <c r="B75" s="33" t="s">
        <v>8</v>
      </c>
      <c r="C75" s="78">
        <f>Indeks!H76</f>
        <v>104.58505674273317</v>
      </c>
      <c r="D75" s="147">
        <f t="shared" si="7"/>
        <v>0.007325750078343772</v>
      </c>
      <c r="E75" s="156"/>
      <c r="F75" s="156"/>
      <c r="G75" s="156"/>
      <c r="H75" s="78"/>
      <c r="I75" s="55"/>
    </row>
    <row r="76" spans="1:9" ht="15.75" hidden="1" thickBot="1">
      <c r="A76" s="32">
        <f>A75</f>
        <v>2011</v>
      </c>
      <c r="B76" s="33" t="s">
        <v>9</v>
      </c>
      <c r="C76" s="78">
        <f>Indeks!H77</f>
        <v>104.98013649700204</v>
      </c>
      <c r="D76" s="116">
        <f t="shared" si="7"/>
        <v>0.0037775927706451664</v>
      </c>
      <c r="E76" s="148"/>
      <c r="F76" s="148"/>
      <c r="G76" s="148"/>
      <c r="H76" s="78"/>
      <c r="I76" s="55"/>
    </row>
    <row r="77" spans="1:9" ht="15.75" hidden="1" thickBot="1">
      <c r="A77" s="63">
        <f aca="true" t="shared" si="8" ref="A77:A86">A76</f>
        <v>2011</v>
      </c>
      <c r="B77" s="64" t="s">
        <v>10</v>
      </c>
      <c r="C77" s="139">
        <f>Indeks!H78</f>
        <v>105.99337858333936</v>
      </c>
      <c r="D77" s="117">
        <f t="shared" si="7"/>
        <v>0.009651750513453218</v>
      </c>
      <c r="E77" s="91">
        <f>(SUM(C75:C77)-SUM(C72:C74))/SUM(C72:C74)</f>
        <v>0.015271529960974951</v>
      </c>
      <c r="F77" s="91"/>
      <c r="G77" s="91"/>
      <c r="H77" s="139"/>
      <c r="I77" s="55"/>
    </row>
    <row r="78" spans="1:9" ht="15.75" hidden="1" thickBot="1">
      <c r="A78" s="70">
        <f t="shared" si="8"/>
        <v>2011</v>
      </c>
      <c r="B78" s="71" t="s">
        <v>11</v>
      </c>
      <c r="C78" s="76">
        <f>Indeks!H79</f>
        <v>106.73958017361328</v>
      </c>
      <c r="D78" s="118">
        <f t="shared" si="7"/>
        <v>0.00704007741094126</v>
      </c>
      <c r="E78" s="151"/>
      <c r="F78" s="151"/>
      <c r="G78" s="151"/>
      <c r="H78" s="76"/>
      <c r="I78" s="55"/>
    </row>
    <row r="79" spans="1:9" ht="15.75" hidden="1" thickBot="1">
      <c r="A79" s="32">
        <f t="shared" si="8"/>
        <v>2011</v>
      </c>
      <c r="B79" s="33" t="s">
        <v>12</v>
      </c>
      <c r="C79" s="78">
        <f>Indeks!H80</f>
        <v>107.36690599244854</v>
      </c>
      <c r="D79" s="116">
        <f t="shared" si="7"/>
        <v>0.005877162134373271</v>
      </c>
      <c r="E79" s="148"/>
      <c r="F79" s="148"/>
      <c r="G79" s="148"/>
      <c r="H79" s="78"/>
      <c r="I79" s="55"/>
    </row>
    <row r="80" spans="1:9" ht="15.75" hidden="1" thickBot="1">
      <c r="A80" s="63">
        <f t="shared" si="8"/>
        <v>2011</v>
      </c>
      <c r="B80" s="64" t="s">
        <v>13</v>
      </c>
      <c r="C80" s="139">
        <f>Indeks!H81</f>
        <v>107.9271775757901</v>
      </c>
      <c r="D80" s="117">
        <f t="shared" si="7"/>
        <v>0.005218289361723489</v>
      </c>
      <c r="E80" s="91">
        <f>(SUM(C78:C80)-SUM(C75:C77))/SUM(C75:C77)</f>
        <v>0.020519461351877905</v>
      </c>
      <c r="F80" s="91">
        <f>(SUM(C75:C80)-SUM(C69:C74))/SUM(C69:C74)</f>
        <v>0.025924366379685884</v>
      </c>
      <c r="G80" s="91"/>
      <c r="H80" s="139"/>
      <c r="I80" s="55"/>
    </row>
    <row r="81" spans="1:9" ht="15.75" hidden="1" thickBot="1">
      <c r="A81" s="70">
        <f t="shared" si="8"/>
        <v>2011</v>
      </c>
      <c r="B81" s="75" t="s">
        <v>31</v>
      </c>
      <c r="C81" s="76">
        <f>Indeks!H82</f>
        <v>107.30731154423297</v>
      </c>
      <c r="D81" s="118">
        <f t="shared" si="7"/>
        <v>-0.005743372943500097</v>
      </c>
      <c r="E81" s="151"/>
      <c r="F81" s="151"/>
      <c r="G81" s="151"/>
      <c r="H81" s="76"/>
      <c r="I81" s="55"/>
    </row>
    <row r="82" spans="1:9" ht="15.75" hidden="1" thickBot="1">
      <c r="A82" s="32">
        <f t="shared" si="8"/>
        <v>2011</v>
      </c>
      <c r="B82" s="33" t="s">
        <v>14</v>
      </c>
      <c r="C82" s="78">
        <f>Indeks!H83</f>
        <v>107.77995894618688</v>
      </c>
      <c r="D82" s="116">
        <f t="shared" si="7"/>
        <v>0.0044046150737741445</v>
      </c>
      <c r="E82" s="148"/>
      <c r="F82" s="148"/>
      <c r="G82" s="148"/>
      <c r="H82" s="78"/>
      <c r="I82" s="55"/>
    </row>
    <row r="83" spans="1:9" ht="15.75" hidden="1" thickBot="1">
      <c r="A83" s="63">
        <f t="shared" si="8"/>
        <v>2011</v>
      </c>
      <c r="B83" s="64" t="s">
        <v>15</v>
      </c>
      <c r="C83" s="139">
        <f>Indeks!H84</f>
        <v>107.72051815768444</v>
      </c>
      <c r="D83" s="117">
        <f t="shared" si="7"/>
        <v>-0.0005515013095534801</v>
      </c>
      <c r="E83" s="91">
        <f>(SUM(C81:C83)-SUM(C78:C80))/SUM(C78:C80)</f>
        <v>0.0024038633019215494</v>
      </c>
      <c r="F83" s="91"/>
      <c r="G83" s="91"/>
      <c r="H83" s="139"/>
      <c r="I83" s="66"/>
    </row>
    <row r="84" spans="1:9" ht="15.75" hidden="1" thickBot="1">
      <c r="A84" s="70">
        <f t="shared" si="8"/>
        <v>2011</v>
      </c>
      <c r="B84" s="71" t="s">
        <v>16</v>
      </c>
      <c r="C84" s="76">
        <f>Indeks!H85</f>
        <v>107.15480734386321</v>
      </c>
      <c r="D84" s="116">
        <f t="shared" si="7"/>
        <v>-0.005251653292208663</v>
      </c>
      <c r="E84" s="151"/>
      <c r="F84" s="151"/>
      <c r="G84" s="151"/>
      <c r="H84" s="76"/>
      <c r="I84" s="66"/>
    </row>
    <row r="85" spans="1:9" ht="15.75" hidden="1" thickBot="1">
      <c r="A85" s="32">
        <f t="shared" si="8"/>
        <v>2011</v>
      </c>
      <c r="B85" s="33" t="s">
        <v>17</v>
      </c>
      <c r="C85" s="78">
        <f>Indeks!H86</f>
        <v>107.28408664030727</v>
      </c>
      <c r="D85" s="116">
        <f t="shared" si="7"/>
        <v>0.0012064722026814184</v>
      </c>
      <c r="E85" s="148"/>
      <c r="F85" s="148"/>
      <c r="G85" s="148"/>
      <c r="H85" s="78"/>
      <c r="I85" s="66"/>
    </row>
    <row r="86" spans="1:9" ht="15.75" hidden="1" thickBot="1">
      <c r="A86" s="72">
        <f t="shared" si="8"/>
        <v>2011</v>
      </c>
      <c r="B86" s="73" t="s">
        <v>18</v>
      </c>
      <c r="C86" s="135">
        <f>Indeks!H87</f>
        <v>108.00417847192873</v>
      </c>
      <c r="D86" s="93">
        <f t="shared" si="7"/>
        <v>0.006712009713385741</v>
      </c>
      <c r="E86" s="148">
        <f>(SUM(C84:C86)-SUM(C81:C83))/SUM(C81:C83)</f>
        <v>-0.0011298246350636928</v>
      </c>
      <c r="F86" s="148">
        <f>(SUM(C81:C86)-SUM(C75:C80))/SUM(C75:C80)</f>
        <v>0.012011792352664535</v>
      </c>
      <c r="G86" s="148">
        <f>(SUM(C75:C86)-SUM(C63:C74))/SUM(C63:C74)</f>
        <v>0.039438995472317266</v>
      </c>
      <c r="H86" s="135"/>
      <c r="I86" s="66"/>
    </row>
    <row r="87" spans="1:8" ht="13.5" customHeight="1" hidden="1">
      <c r="A87" s="74">
        <v>2012</v>
      </c>
      <c r="B87" s="33" t="s">
        <v>8</v>
      </c>
      <c r="C87" s="78">
        <f>Indeks!H88</f>
        <v>108.28959502910448</v>
      </c>
      <c r="D87" s="148">
        <f aca="true" t="shared" si="9" ref="D87:D110">(C87-C86)/C86</f>
        <v>0.0026426436570686283</v>
      </c>
      <c r="E87" s="156"/>
      <c r="F87" s="156"/>
      <c r="G87" s="156"/>
      <c r="H87" s="78"/>
    </row>
    <row r="88" spans="1:8" ht="13.5" hidden="1" thickBot="1">
      <c r="A88" s="32">
        <f>A87</f>
        <v>2012</v>
      </c>
      <c r="B88" s="33" t="s">
        <v>9</v>
      </c>
      <c r="C88" s="78">
        <f>Indeks!H89</f>
        <v>107.42545592963126</v>
      </c>
      <c r="D88" s="148">
        <f t="shared" si="9"/>
        <v>-0.007979890397050335</v>
      </c>
      <c r="E88" s="148"/>
      <c r="F88" s="148"/>
      <c r="G88" s="148"/>
      <c r="H88" s="78"/>
    </row>
    <row r="89" spans="1:8" ht="13.5" hidden="1" thickBot="1">
      <c r="A89" s="63">
        <f aca="true" t="shared" si="10" ref="A89:A98">A88</f>
        <v>2012</v>
      </c>
      <c r="B89" s="64" t="s">
        <v>10</v>
      </c>
      <c r="C89" s="139">
        <f>Indeks!H90</f>
        <v>108.29331925732106</v>
      </c>
      <c r="D89" s="91">
        <f t="shared" si="9"/>
        <v>0.008078749307410857</v>
      </c>
      <c r="E89" s="91">
        <f>(SUM(C87:C89)-SUM(C84:C86))/SUM(C84:C86)</f>
        <v>0.004854493377806016</v>
      </c>
      <c r="F89" s="91"/>
      <c r="G89" s="91"/>
      <c r="H89" s="139"/>
    </row>
    <row r="90" spans="1:8" ht="13.5" hidden="1" thickBot="1">
      <c r="A90" s="70">
        <f t="shared" si="10"/>
        <v>2012</v>
      </c>
      <c r="B90" s="71" t="s">
        <v>11</v>
      </c>
      <c r="C90" s="76">
        <f>Indeks!H91</f>
        <v>109.25827194239672</v>
      </c>
      <c r="D90" s="151">
        <f t="shared" si="9"/>
        <v>0.008910546760348045</v>
      </c>
      <c r="E90" s="151"/>
      <c r="F90" s="151"/>
      <c r="G90" s="151"/>
      <c r="H90" s="76"/>
    </row>
    <row r="91" spans="1:8" ht="13.5" hidden="1" thickBot="1">
      <c r="A91" s="32">
        <f t="shared" si="10"/>
        <v>2012</v>
      </c>
      <c r="B91" s="33" t="s">
        <v>12</v>
      </c>
      <c r="C91" s="78">
        <f>Indeks!H92</f>
        <v>109.53779353454972</v>
      </c>
      <c r="D91" s="148">
        <f t="shared" si="9"/>
        <v>0.0025583563347988214</v>
      </c>
      <c r="E91" s="148"/>
      <c r="F91" s="148"/>
      <c r="G91" s="148"/>
      <c r="H91" s="78"/>
    </row>
    <row r="92" spans="1:8" ht="13.5" hidden="1" thickBot="1">
      <c r="A92" s="63">
        <f t="shared" si="10"/>
        <v>2012</v>
      </c>
      <c r="B92" s="64" t="s">
        <v>13</v>
      </c>
      <c r="C92" s="139">
        <f>Indeks!H93</f>
        <v>109.13490121154003</v>
      </c>
      <c r="D92" s="91">
        <f t="shared" si="9"/>
        <v>-0.0036781124578944275</v>
      </c>
      <c r="E92" s="91">
        <f>(SUM(C90:C92)-SUM(C87:C89))/SUM(C87:C89)</f>
        <v>0.012106466477437001</v>
      </c>
      <c r="F92" s="91">
        <f>(SUM(C87:C92)-SUM(C81:C86))/SUM(C81:C86)</f>
        <v>0.01036569837178359</v>
      </c>
      <c r="G92" s="91"/>
      <c r="H92" s="139"/>
    </row>
    <row r="93" spans="1:8" ht="13.5" hidden="1" thickBot="1">
      <c r="A93" s="70">
        <f t="shared" si="10"/>
        <v>2012</v>
      </c>
      <c r="B93" s="75" t="s">
        <v>31</v>
      </c>
      <c r="C93" s="76">
        <f>Indeks!H94</f>
        <v>108.51726978812567</v>
      </c>
      <c r="D93" s="151">
        <f t="shared" si="9"/>
        <v>-0.005659339189918494</v>
      </c>
      <c r="E93" s="151"/>
      <c r="F93" s="151"/>
      <c r="G93" s="151"/>
      <c r="H93" s="76"/>
    </row>
    <row r="94" spans="1:8" ht="13.5" hidden="1" thickBot="1">
      <c r="A94" s="32">
        <f t="shared" si="10"/>
        <v>2012</v>
      </c>
      <c r="B94" s="33" t="s">
        <v>14</v>
      </c>
      <c r="C94" s="78">
        <f>Indeks!H95</f>
        <v>108.11610912573073</v>
      </c>
      <c r="D94" s="148">
        <f t="shared" si="9"/>
        <v>-0.0036967448884236455</v>
      </c>
      <c r="E94" s="148"/>
      <c r="F94" s="148"/>
      <c r="G94" s="148"/>
      <c r="H94" s="78"/>
    </row>
    <row r="95" spans="1:8" ht="13.5" hidden="1" thickBot="1">
      <c r="A95" s="63">
        <f t="shared" si="10"/>
        <v>2012</v>
      </c>
      <c r="B95" s="64" t="s">
        <v>15</v>
      </c>
      <c r="C95" s="139">
        <f>Indeks!H96</f>
        <v>108.71904368898144</v>
      </c>
      <c r="D95" s="91">
        <f t="shared" si="9"/>
        <v>0.00557673197940879</v>
      </c>
      <c r="E95" s="91">
        <f>(SUM(C93:C95)-SUM(C90:C92))/SUM(C90:C92)</f>
        <v>-0.007863069815233608</v>
      </c>
      <c r="F95" s="91"/>
      <c r="G95" s="91"/>
      <c r="H95" s="139"/>
    </row>
    <row r="96" spans="1:8" ht="13.5" hidden="1" thickBot="1">
      <c r="A96" s="70">
        <f t="shared" si="10"/>
        <v>2012</v>
      </c>
      <c r="B96" s="71" t="s">
        <v>16</v>
      </c>
      <c r="C96" s="76">
        <f>Indeks!H97</f>
        <v>109.53061868569037</v>
      </c>
      <c r="D96" s="148">
        <f t="shared" si="9"/>
        <v>0.0074648835123186374</v>
      </c>
      <c r="E96" s="151"/>
      <c r="F96" s="151"/>
      <c r="G96" s="151"/>
      <c r="H96" s="76"/>
    </row>
    <row r="97" spans="1:8" ht="13.5" hidden="1" thickBot="1">
      <c r="A97" s="32">
        <f t="shared" si="10"/>
        <v>2012</v>
      </c>
      <c r="B97" s="33" t="s">
        <v>17</v>
      </c>
      <c r="C97" s="78">
        <f>Indeks!H98</f>
        <v>109.63876118087016</v>
      </c>
      <c r="D97" s="148">
        <f t="shared" si="9"/>
        <v>0.0009873266167711298</v>
      </c>
      <c r="E97" s="148"/>
      <c r="F97" s="148"/>
      <c r="G97" s="148"/>
      <c r="H97" s="78"/>
    </row>
    <row r="98" spans="1:8" ht="13.5" hidden="1" thickBot="1">
      <c r="A98" s="72">
        <f t="shared" si="10"/>
        <v>2012</v>
      </c>
      <c r="B98" s="73" t="s">
        <v>18</v>
      </c>
      <c r="C98" s="135">
        <f>Indeks!H99</f>
        <v>109.71193763101257</v>
      </c>
      <c r="D98" s="138">
        <f t="shared" si="9"/>
        <v>0.0006674322963362727</v>
      </c>
      <c r="E98" s="148">
        <f>(SUM(C96:C98)-SUM(C93:C95))/SUM(C93:C95)</f>
        <v>0.010846376573759222</v>
      </c>
      <c r="F98" s="148">
        <f>(SUM(C93:C98)-SUM(C87:C92))/SUM(C87:C92)</f>
        <v>0.0035193507524206597</v>
      </c>
      <c r="G98" s="148">
        <f>(SUM(C87:C98)-SUM(C75:C86))/SUM(C75:C86)</f>
        <v>0.018186152613986862</v>
      </c>
      <c r="H98" s="135">
        <f>(C87+C88+C89+C90+C91+C92+C93+C94+C95+C96+C97+C98)/12</f>
        <v>108.84775641707954</v>
      </c>
    </row>
    <row r="99" spans="1:8" ht="13.5" hidden="1" thickBot="1">
      <c r="A99" s="74">
        <v>2013</v>
      </c>
      <c r="B99" s="33" t="s">
        <v>8</v>
      </c>
      <c r="C99" s="78">
        <f>Indeks!H100</f>
        <v>109.6116233037691</v>
      </c>
      <c r="D99" s="148">
        <f t="shared" si="9"/>
        <v>-0.0009143428637716913</v>
      </c>
      <c r="E99" s="156"/>
      <c r="F99" s="156"/>
      <c r="G99" s="156"/>
      <c r="H99" s="78"/>
    </row>
    <row r="100" spans="1:8" ht="13.5" hidden="1" thickBot="1">
      <c r="A100" s="32">
        <f>A99</f>
        <v>2013</v>
      </c>
      <c r="B100" s="33" t="s">
        <v>9</v>
      </c>
      <c r="C100" s="78">
        <f>Indeks!H101</f>
        <v>109.06871627848055</v>
      </c>
      <c r="D100" s="148">
        <f t="shared" si="9"/>
        <v>-0.004953005976236409</v>
      </c>
      <c r="E100" s="148"/>
      <c r="F100" s="148"/>
      <c r="G100" s="148"/>
      <c r="H100" s="78"/>
    </row>
    <row r="101" spans="1:8" ht="13.5" hidden="1" thickBot="1">
      <c r="A101" s="63">
        <f aca="true" t="shared" si="11" ref="A101:A110">A100</f>
        <v>2013</v>
      </c>
      <c r="B101" s="64" t="s">
        <v>10</v>
      </c>
      <c r="C101" s="139">
        <f>Indeks!H102</f>
        <v>109.30875268340239</v>
      </c>
      <c r="D101" s="91">
        <f t="shared" si="9"/>
        <v>0.002200781425802825</v>
      </c>
      <c r="E101" s="91">
        <f>(SUM(C99:C101)-SUM(C96:C98))/SUM(C96:C98)</f>
        <v>-0.0027129094431690105</v>
      </c>
      <c r="F101" s="91"/>
      <c r="G101" s="91"/>
      <c r="H101" s="139"/>
    </row>
    <row r="102" spans="1:8" ht="13.5" hidden="1" thickBot="1">
      <c r="A102" s="70">
        <f t="shared" si="11"/>
        <v>2013</v>
      </c>
      <c r="B102" s="71" t="s">
        <v>11</v>
      </c>
      <c r="C102" s="76">
        <f>Indeks!H103</f>
        <v>109.98126889310322</v>
      </c>
      <c r="D102" s="180">
        <f t="shared" si="9"/>
        <v>0.0061524461051045065</v>
      </c>
      <c r="E102" s="180"/>
      <c r="F102" s="180"/>
      <c r="G102" s="180"/>
      <c r="H102" s="76"/>
    </row>
    <row r="103" spans="1:8" ht="13.5" hidden="1" thickBot="1">
      <c r="A103" s="32">
        <f t="shared" si="11"/>
        <v>2013</v>
      </c>
      <c r="B103" s="33" t="s">
        <v>12</v>
      </c>
      <c r="C103" s="78">
        <f>Indeks!H104</f>
        <v>109.4734730209545</v>
      </c>
      <c r="D103" s="148">
        <f t="shared" si="9"/>
        <v>-0.004617112325211247</v>
      </c>
      <c r="E103" s="148"/>
      <c r="F103" s="148"/>
      <c r="G103" s="148"/>
      <c r="H103" s="78"/>
    </row>
    <row r="104" spans="1:8" ht="13.5" hidden="1" thickBot="1">
      <c r="A104" s="63">
        <f t="shared" si="11"/>
        <v>2013</v>
      </c>
      <c r="B104" s="64" t="s">
        <v>13</v>
      </c>
      <c r="C104" s="139">
        <f>Indeks!H105</f>
        <v>108.59665368749857</v>
      </c>
      <c r="D104" s="91">
        <f t="shared" si="9"/>
        <v>-0.008009422824176717</v>
      </c>
      <c r="E104" s="91">
        <f>(SUM(C102:C104)-SUM(C99:C101))/SUM(C99:C101)</f>
        <v>0.00018995551185516362</v>
      </c>
      <c r="F104" s="91">
        <f>(SUM(C99:C104)-SUM(C93:C98))/SUM(C93:C98)</f>
        <v>0.0027616242575935626</v>
      </c>
      <c r="G104" s="91"/>
      <c r="H104" s="139"/>
    </row>
    <row r="105" spans="1:8" ht="13.5" hidden="1" thickBot="1">
      <c r="A105" s="70">
        <f t="shared" si="11"/>
        <v>2013</v>
      </c>
      <c r="B105" s="75" t="s">
        <v>31</v>
      </c>
      <c r="C105" s="76">
        <f>Indeks!H106</f>
        <v>109.00738642005831</v>
      </c>
      <c r="D105" s="151">
        <f t="shared" si="9"/>
        <v>0.0037821859018020505</v>
      </c>
      <c r="E105" s="151"/>
      <c r="F105" s="151"/>
      <c r="G105" s="151"/>
      <c r="H105" s="76"/>
    </row>
    <row r="106" spans="1:8" ht="13.5" hidden="1" thickBot="1">
      <c r="A106" s="32">
        <f t="shared" si="11"/>
        <v>2013</v>
      </c>
      <c r="B106" s="33" t="s">
        <v>14</v>
      </c>
      <c r="C106" s="78">
        <f>Indeks!H107</f>
        <v>109.18852485490916</v>
      </c>
      <c r="D106" s="148">
        <f t="shared" si="9"/>
        <v>0.0016617078970487093</v>
      </c>
      <c r="E106" s="148"/>
      <c r="F106" s="148"/>
      <c r="G106" s="148"/>
      <c r="H106" s="78"/>
    </row>
    <row r="107" spans="1:8" ht="13.5" hidden="1" thickBot="1">
      <c r="A107" s="63">
        <f t="shared" si="11"/>
        <v>2013</v>
      </c>
      <c r="B107" s="64" t="s">
        <v>15</v>
      </c>
      <c r="C107" s="139">
        <f>Indeks!H108</f>
        <v>109.60588031131111</v>
      </c>
      <c r="D107" s="91">
        <f t="shared" si="9"/>
        <v>0.0038223380795421127</v>
      </c>
      <c r="E107" s="91">
        <f>(SUM(C105:C107)-SUM(C102:C104))/SUM(C102:C104)</f>
        <v>-0.0007608686279783086</v>
      </c>
      <c r="F107" s="91"/>
      <c r="G107" s="91"/>
      <c r="H107" s="139"/>
    </row>
    <row r="108" spans="1:8" ht="13.5" hidden="1" thickBot="1">
      <c r="A108" s="70">
        <f t="shared" si="11"/>
        <v>2013</v>
      </c>
      <c r="B108" s="71" t="s">
        <v>16</v>
      </c>
      <c r="C108" s="76">
        <f>Indeks!H109</f>
        <v>109.84851052508078</v>
      </c>
      <c r="D108" s="148">
        <f t="shared" si="9"/>
        <v>0.0022136605543474053</v>
      </c>
      <c r="E108" s="151"/>
      <c r="F108" s="151"/>
      <c r="G108" s="151"/>
      <c r="H108" s="76"/>
    </row>
    <row r="109" spans="1:8" ht="13.5" hidden="1" thickBot="1">
      <c r="A109" s="32">
        <f t="shared" si="11"/>
        <v>2013</v>
      </c>
      <c r="B109" s="33" t="s">
        <v>17</v>
      </c>
      <c r="C109" s="78">
        <f>Indeks!H110</f>
        <v>110.34369278648441</v>
      </c>
      <c r="D109" s="148">
        <f t="shared" si="9"/>
        <v>0.0045078650501188785</v>
      </c>
      <c r="E109" s="148"/>
      <c r="F109" s="148"/>
      <c r="G109" s="148"/>
      <c r="H109" s="78"/>
    </row>
    <row r="110" spans="1:8" ht="13.5" hidden="1" thickBot="1">
      <c r="A110" s="72">
        <f t="shared" si="11"/>
        <v>2013</v>
      </c>
      <c r="B110" s="73" t="s">
        <v>18</v>
      </c>
      <c r="C110" s="135">
        <f>Indeks!H111</f>
        <v>109.90920777464092</v>
      </c>
      <c r="D110" s="138">
        <f t="shared" si="9"/>
        <v>-0.00393756091419038</v>
      </c>
      <c r="E110" s="148">
        <f>(SUM(C108:C110)-SUM(C105:C107))/SUM(C105:C107)</f>
        <v>0.007015274348560912</v>
      </c>
      <c r="F110" s="148">
        <f>(SUM(C105:C110)-SUM(C99:C104))/SUM(C99:C104)</f>
        <v>0.0028393290349075133</v>
      </c>
      <c r="G110" s="148">
        <f>(SUM(C99:C110)-SUM(C87:C98))/SUM(C87:C98)</f>
        <v>0.0059491453862735005</v>
      </c>
      <c r="H110" s="135">
        <f>(C99+C100+C101+C102+C103+C104+C105+C106+C107+C108+C109+C110)/12</f>
        <v>109.49530754497442</v>
      </c>
    </row>
    <row r="111" spans="1:8" ht="13.5" hidden="1" thickBot="1">
      <c r="A111" s="74">
        <v>2014</v>
      </c>
      <c r="B111" s="33" t="s">
        <v>8</v>
      </c>
      <c r="C111" s="78">
        <f>Indeks!H112</f>
        <v>109.44285671614632</v>
      </c>
      <c r="D111" s="148">
        <f aca="true" t="shared" si="12" ref="D111:D122">(C111-C110)/C110</f>
        <v>-0.004243057228206092</v>
      </c>
      <c r="E111" s="156"/>
      <c r="F111" s="156"/>
      <c r="G111" s="156"/>
      <c r="H111" s="78"/>
    </row>
    <row r="112" spans="1:8" ht="13.5" hidden="1" thickBot="1">
      <c r="A112" s="32">
        <f>A111</f>
        <v>2014</v>
      </c>
      <c r="B112" s="33" t="s">
        <v>9</v>
      </c>
      <c r="C112" s="78">
        <f>Indeks!H113</f>
        <v>109.6814511318544</v>
      </c>
      <c r="D112" s="148">
        <f t="shared" si="12"/>
        <v>0.002180082125660361</v>
      </c>
      <c r="E112" s="148"/>
      <c r="F112" s="148"/>
      <c r="G112" s="148"/>
      <c r="H112" s="78"/>
    </row>
    <row r="113" spans="1:8" ht="13.5" hidden="1" thickBot="1">
      <c r="A113" s="63">
        <f aca="true" t="shared" si="13" ref="A113:A122">A112</f>
        <v>2014</v>
      </c>
      <c r="B113" s="64" t="s">
        <v>10</v>
      </c>
      <c r="C113" s="139">
        <f>Indeks!H114</f>
        <v>109.41882712501318</v>
      </c>
      <c r="D113" s="91">
        <f t="shared" si="12"/>
        <v>-0.002394424983724058</v>
      </c>
      <c r="E113" s="91">
        <f>(SUM(C111:C113)-SUM(C108:C110))/SUM(C108:C110)</f>
        <v>-0.004720598158198179</v>
      </c>
      <c r="F113" s="91"/>
      <c r="G113" s="91"/>
      <c r="H113" s="139"/>
    </row>
    <row r="114" spans="1:8" ht="13.5" hidden="1" thickBot="1">
      <c r="A114" s="70">
        <f t="shared" si="13"/>
        <v>2014</v>
      </c>
      <c r="B114" s="71" t="s">
        <v>11</v>
      </c>
      <c r="C114" s="76">
        <f>Indeks!H115</f>
        <v>109.7985019237603</v>
      </c>
      <c r="D114" s="148">
        <f t="shared" si="12"/>
        <v>0.0034699220300847483</v>
      </c>
      <c r="E114" s="151"/>
      <c r="F114" s="151"/>
      <c r="G114" s="151"/>
      <c r="H114" s="76"/>
    </row>
    <row r="115" spans="1:8" ht="13.5" hidden="1" thickBot="1">
      <c r="A115" s="32">
        <f t="shared" si="13"/>
        <v>2014</v>
      </c>
      <c r="B115" s="33" t="s">
        <v>12</v>
      </c>
      <c r="C115" s="78">
        <f>Indeks!H116</f>
        <v>109.6327432393173</v>
      </c>
      <c r="D115" s="148">
        <f t="shared" si="12"/>
        <v>-0.0015096625321726856</v>
      </c>
      <c r="E115" s="148"/>
      <c r="F115" s="148"/>
      <c r="G115" s="148"/>
      <c r="H115" s="78"/>
    </row>
    <row r="116" spans="1:8" ht="13.5" hidden="1" thickBot="1">
      <c r="A116" s="63">
        <f t="shared" si="13"/>
        <v>2014</v>
      </c>
      <c r="B116" s="64" t="s">
        <v>13</v>
      </c>
      <c r="C116" s="139">
        <f>Indeks!H117</f>
        <v>109.4798699355618</v>
      </c>
      <c r="D116" s="91">
        <f t="shared" si="12"/>
        <v>-0.0013944128299499508</v>
      </c>
      <c r="E116" s="91">
        <f>(SUM(C114:C116)-SUM(C111:C113))/SUM(C111:C113)</f>
        <v>0.001120035960135659</v>
      </c>
      <c r="F116" s="91">
        <f>(SUM(C111:C116)-SUM(C105:C110))/SUM(C105:C110)</f>
        <v>-0.0006823991721085427</v>
      </c>
      <c r="G116" s="91"/>
      <c r="H116" s="139"/>
    </row>
    <row r="117" spans="1:8" ht="13.5" hidden="1" thickBot="1">
      <c r="A117" s="70">
        <f t="shared" si="13"/>
        <v>2014</v>
      </c>
      <c r="B117" s="75" t="s">
        <v>31</v>
      </c>
      <c r="C117" s="76">
        <f>Indeks!H118</f>
        <v>109.4385506039388</v>
      </c>
      <c r="D117" s="151">
        <f t="shared" si="12"/>
        <v>-0.00037741487679260723</v>
      </c>
      <c r="E117" s="151"/>
      <c r="F117" s="151"/>
      <c r="G117" s="151"/>
      <c r="H117" s="76"/>
    </row>
    <row r="118" spans="1:8" ht="13.5" hidden="1" thickBot="1">
      <c r="A118" s="32">
        <f t="shared" si="13"/>
        <v>2014</v>
      </c>
      <c r="B118" s="33" t="s">
        <v>14</v>
      </c>
      <c r="C118" s="78">
        <f>Indeks!H119</f>
        <v>109.6545048519073</v>
      </c>
      <c r="D118" s="148">
        <f t="shared" si="12"/>
        <v>0.001973292288473885</v>
      </c>
      <c r="E118" s="148"/>
      <c r="F118" s="148"/>
      <c r="G118" s="148"/>
      <c r="H118" s="78"/>
    </row>
    <row r="119" spans="1:8" ht="13.5" hidden="1" thickBot="1">
      <c r="A119" s="63">
        <f t="shared" si="13"/>
        <v>2014</v>
      </c>
      <c r="B119" s="64" t="s">
        <v>15</v>
      </c>
      <c r="C119" s="139">
        <f>Indeks!H120</f>
        <v>109.46041207580026</v>
      </c>
      <c r="D119" s="91">
        <f t="shared" si="12"/>
        <v>-0.0017700392370488664</v>
      </c>
      <c r="E119" s="91">
        <f>(SUM(C117:C119)-SUM(C114:C116))/SUM(C114:C116)</f>
        <v>-0.0010873684426439122</v>
      </c>
      <c r="F119" s="91"/>
      <c r="G119" s="91"/>
      <c r="H119" s="139"/>
    </row>
    <row r="120" spans="1:8" ht="13.5" hidden="1" thickBot="1">
      <c r="A120" s="70">
        <f t="shared" si="13"/>
        <v>2014</v>
      </c>
      <c r="B120" s="71" t="s">
        <v>16</v>
      </c>
      <c r="C120" s="76">
        <f>Indeks!H121</f>
        <v>109.67258252792017</v>
      </c>
      <c r="D120" s="148">
        <f t="shared" si="12"/>
        <v>0.001938330471229913</v>
      </c>
      <c r="E120" s="151"/>
      <c r="F120" s="151"/>
      <c r="G120" s="151"/>
      <c r="H120" s="76"/>
    </row>
    <row r="121" spans="1:8" ht="13.5" hidden="1" thickBot="1">
      <c r="A121" s="32">
        <f t="shared" si="13"/>
        <v>2014</v>
      </c>
      <c r="B121" s="33" t="s">
        <v>17</v>
      </c>
      <c r="C121" s="78">
        <f>Indeks!H122</f>
        <v>109.46534073069375</v>
      </c>
      <c r="D121" s="148">
        <f t="shared" si="12"/>
        <v>-0.0018896408970186978</v>
      </c>
      <c r="E121" s="148"/>
      <c r="F121" s="148"/>
      <c r="G121" s="148"/>
      <c r="H121" s="78"/>
    </row>
    <row r="122" spans="1:8" ht="13.5" hidden="1" thickBot="1">
      <c r="A122" s="72">
        <f t="shared" si="13"/>
        <v>2014</v>
      </c>
      <c r="B122" s="73" t="s">
        <v>18</v>
      </c>
      <c r="C122" s="135">
        <f>Indeks!H123</f>
        <v>108.97563640985736</v>
      </c>
      <c r="D122" s="138">
        <f t="shared" si="12"/>
        <v>-0.0044736015762392245</v>
      </c>
      <c r="E122" s="138">
        <f>(SUM(C120:C122)-SUM(C117:C119))/SUM(C117:C119)</f>
        <v>-0.0013389232093028488</v>
      </c>
      <c r="F122" s="138">
        <f>(SUM(C117:C122)-SUM(C111:C116))/SUM(C111:C116)</f>
        <v>-0.0011973804587164043</v>
      </c>
      <c r="G122" s="138">
        <f>(SUM(C111:C122)-SUM(C99:C110))/SUM(C99:C110)</f>
        <v>0.00013515551188105187</v>
      </c>
      <c r="H122" s="135">
        <f>(C111+C112+C113+C114+C115+C116+C117+C118+C119+C120+C121+C122)/12</f>
        <v>109.51010643931424</v>
      </c>
    </row>
    <row r="123" spans="1:8" ht="13.5" hidden="1" thickBot="1">
      <c r="A123" s="87">
        <v>2015</v>
      </c>
      <c r="B123" s="88" t="s">
        <v>8</v>
      </c>
      <c r="C123" s="140">
        <f>Indeks!H124</f>
        <v>109.09102214962684</v>
      </c>
      <c r="D123" s="156">
        <f aca="true" t="shared" si="14" ref="D123:D134">(C123-C122)/C122</f>
        <v>0.001058821435421708</v>
      </c>
      <c r="E123" s="156"/>
      <c r="F123" s="156"/>
      <c r="G123" s="156"/>
      <c r="H123" s="140"/>
    </row>
    <row r="124" spans="1:8" ht="13.5" hidden="1" thickBot="1">
      <c r="A124" s="32">
        <f aca="true" t="shared" si="15" ref="A124:A134">A123</f>
        <v>2015</v>
      </c>
      <c r="B124" s="33" t="s">
        <v>9</v>
      </c>
      <c r="C124" s="78">
        <f>Indeks!H125</f>
        <v>107.60102193343101</v>
      </c>
      <c r="D124" s="148">
        <f t="shared" si="14"/>
        <v>-0.013658321160032516</v>
      </c>
      <c r="E124" s="148"/>
      <c r="F124" s="78"/>
      <c r="G124" s="148"/>
      <c r="H124" s="78"/>
    </row>
    <row r="125" spans="1:8" ht="13.5" hidden="1" thickBot="1">
      <c r="A125" s="63">
        <f t="shared" si="15"/>
        <v>2015</v>
      </c>
      <c r="B125" s="64" t="s">
        <v>10</v>
      </c>
      <c r="C125" s="139">
        <f>Indeks!H126</f>
        <v>106.51656379649668</v>
      </c>
      <c r="D125" s="91">
        <f t="shared" si="14"/>
        <v>-0.010078511499688605</v>
      </c>
      <c r="E125" s="91">
        <f>(SUM(C123:C125)-SUM(C120:C122))/SUM(C120:C122)</f>
        <v>-0.014948945706092674</v>
      </c>
      <c r="F125" s="91"/>
      <c r="G125" s="91"/>
      <c r="H125" s="139"/>
    </row>
    <row r="126" spans="1:8" ht="13.5" hidden="1" thickBot="1">
      <c r="A126" s="32">
        <f t="shared" si="15"/>
        <v>2015</v>
      </c>
      <c r="B126" s="33" t="s">
        <v>11</v>
      </c>
      <c r="C126" s="78">
        <f>Indeks!H127</f>
        <v>107.81647390481069</v>
      </c>
      <c r="D126" s="148">
        <f t="shared" si="14"/>
        <v>0.012203830671796069</v>
      </c>
      <c r="E126" s="148"/>
      <c r="F126" s="148"/>
      <c r="G126" s="148"/>
      <c r="H126" s="78"/>
    </row>
    <row r="127" spans="1:8" ht="13.5" hidden="1" thickBot="1">
      <c r="A127" s="32">
        <f t="shared" si="15"/>
        <v>2015</v>
      </c>
      <c r="B127" s="33" t="s">
        <v>12</v>
      </c>
      <c r="C127" s="78">
        <f>Indeks!H128</f>
        <v>108.0300435832911</v>
      </c>
      <c r="D127" s="148">
        <f t="shared" si="14"/>
        <v>0.0019808631347837257</v>
      </c>
      <c r="E127" s="148"/>
      <c r="F127" s="148"/>
      <c r="G127" s="148"/>
      <c r="H127" s="78"/>
    </row>
    <row r="128" spans="1:8" ht="13.5" hidden="1" thickBot="1">
      <c r="A128" s="63">
        <f t="shared" si="15"/>
        <v>2015</v>
      </c>
      <c r="B128" s="64" t="s">
        <v>13</v>
      </c>
      <c r="C128" s="139">
        <f>Indeks!H129</f>
        <v>108.16294508673766</v>
      </c>
      <c r="D128" s="91">
        <f t="shared" si="14"/>
        <v>0.0012302272501083856</v>
      </c>
      <c r="E128" s="91">
        <f>(SUM(C126:C128)-SUM(C123:C125))/SUM(C123:C125)</f>
        <v>0.0024778260100776685</v>
      </c>
      <c r="F128" s="91">
        <f>(SUM(C123:C128)-SUM(C117:C122))/SUM(C117:C122)</f>
        <v>-0.014389266331845384</v>
      </c>
      <c r="G128" s="91"/>
      <c r="H128" s="139"/>
    </row>
    <row r="129" spans="1:8" ht="13.5" hidden="1" thickBot="1">
      <c r="A129" s="70">
        <f t="shared" si="15"/>
        <v>2015</v>
      </c>
      <c r="B129" s="75" t="s">
        <v>31</v>
      </c>
      <c r="C129" s="76">
        <f>Indeks!H130</f>
        <v>108.79099023339268</v>
      </c>
      <c r="D129" s="151">
        <f t="shared" si="14"/>
        <v>0.0058064723196226955</v>
      </c>
      <c r="E129" s="151"/>
      <c r="F129" s="151"/>
      <c r="G129" s="151"/>
      <c r="H129" s="76"/>
    </row>
    <row r="130" spans="1:8" ht="13.5" hidden="1" thickBot="1">
      <c r="A130" s="32">
        <f t="shared" si="15"/>
        <v>2015</v>
      </c>
      <c r="B130" s="33" t="s">
        <v>14</v>
      </c>
      <c r="C130" s="78">
        <f>Indeks!H131</f>
        <v>108.81445242973098</v>
      </c>
      <c r="D130" s="148">
        <f t="shared" si="14"/>
        <v>0.000215663046066282</v>
      </c>
      <c r="E130" s="148"/>
      <c r="F130" s="148"/>
      <c r="G130" s="148"/>
      <c r="H130" s="78"/>
    </row>
    <row r="131" spans="1:8" ht="13.5" hidden="1" thickBot="1">
      <c r="A131" s="63">
        <f t="shared" si="15"/>
        <v>2015</v>
      </c>
      <c r="B131" s="64" t="s">
        <v>15</v>
      </c>
      <c r="C131" s="139">
        <f>Indeks!H132</f>
        <v>108.30898762031161</v>
      </c>
      <c r="D131" s="91">
        <f t="shared" si="14"/>
        <v>-0.004645199218787401</v>
      </c>
      <c r="E131" s="91">
        <f>(SUM(C129:C131)-SUM(C126:C128))/SUM(C126:C128)</f>
        <v>0.005879358255334234</v>
      </c>
      <c r="F131" s="91"/>
      <c r="G131" s="91"/>
      <c r="H131" s="139"/>
    </row>
    <row r="132" spans="1:8" ht="13.5" hidden="1" thickBot="1">
      <c r="A132" s="32">
        <f t="shared" si="15"/>
        <v>2015</v>
      </c>
      <c r="B132" s="33" t="s">
        <v>16</v>
      </c>
      <c r="C132" s="78">
        <f>Indeks!H133</f>
        <v>108.06715817417275</v>
      </c>
      <c r="D132" s="148">
        <f t="shared" si="14"/>
        <v>-0.0022327735809573226</v>
      </c>
      <c r="E132" s="148"/>
      <c r="F132" s="148"/>
      <c r="G132" s="148"/>
      <c r="H132" s="78"/>
    </row>
    <row r="133" spans="1:8" ht="13.5" hidden="1" thickBot="1">
      <c r="A133" s="32">
        <f t="shared" si="15"/>
        <v>2015</v>
      </c>
      <c r="B133" s="33" t="s">
        <v>17</v>
      </c>
      <c r="C133" s="78">
        <f>Indeks!H134</f>
        <v>107.86511619099869</v>
      </c>
      <c r="D133" s="148">
        <f t="shared" si="14"/>
        <v>-0.001869596523010466</v>
      </c>
      <c r="E133" s="148"/>
      <c r="F133" s="148"/>
      <c r="G133" s="148"/>
      <c r="H133" s="78"/>
    </row>
    <row r="134" spans="1:8" ht="13.5" hidden="1" thickBot="1">
      <c r="A134" s="72">
        <f t="shared" si="15"/>
        <v>2015</v>
      </c>
      <c r="B134" s="73" t="s">
        <v>18</v>
      </c>
      <c r="C134" s="135">
        <f>Indeks!H135</f>
        <v>107.89207352797142</v>
      </c>
      <c r="D134" s="138">
        <f t="shared" si="14"/>
        <v>0.0002499170994725899</v>
      </c>
      <c r="E134" s="138">
        <f>(SUM(C132:C134)-SUM(C129:C131))/SUM(C129:C131)</f>
        <v>-0.006412978978791156</v>
      </c>
      <c r="F134" s="138">
        <f>(SUM(C129:C134)-SUM(C123:C128))/SUM(C123:C128)</f>
        <v>0.003894680691493133</v>
      </c>
      <c r="G134" s="138">
        <f>(SUM(C123:C134)-SUM(C111:C122))/SUM(C111:C122)</f>
        <v>-0.01306152555145724</v>
      </c>
      <c r="H134" s="135">
        <f>(C123+C124+C125+C126+C127+C128+C129+C130+C131+C132+C133+C134)/12</f>
        <v>108.07973738591433</v>
      </c>
    </row>
    <row r="135" spans="1:8" ht="13.5" hidden="1" thickBot="1">
      <c r="A135" s="74">
        <v>2016</v>
      </c>
      <c r="B135" s="33" t="s">
        <v>8</v>
      </c>
      <c r="C135" s="140">
        <f>Indeks!H136</f>
        <v>107.87881342950875</v>
      </c>
      <c r="D135" s="156">
        <f aca="true" t="shared" si="16" ref="D135:D146">(C135-C134)/C134</f>
        <v>-0.00012290150730330122</v>
      </c>
      <c r="E135" s="156"/>
      <c r="F135" s="156"/>
      <c r="G135" s="156"/>
      <c r="H135" s="140"/>
    </row>
    <row r="136" spans="1:8" ht="13.5" hidden="1" thickBot="1">
      <c r="A136" s="32">
        <f>A135</f>
        <v>2016</v>
      </c>
      <c r="B136" s="33" t="s">
        <v>9</v>
      </c>
      <c r="C136" s="78">
        <f>Indeks!H137</f>
        <v>106.99342825452445</v>
      </c>
      <c r="D136" s="148">
        <f t="shared" si="16"/>
        <v>-0.008207220183811575</v>
      </c>
      <c r="E136" s="148"/>
      <c r="F136" s="148"/>
      <c r="G136" s="148"/>
      <c r="H136" s="78"/>
    </row>
    <row r="137" spans="1:8" ht="13.5" hidden="1" thickBot="1">
      <c r="A137" s="63">
        <f aca="true" t="shared" si="17" ref="A137:A146">A136</f>
        <v>2016</v>
      </c>
      <c r="B137" s="64" t="s">
        <v>10</v>
      </c>
      <c r="C137" s="139">
        <f>Indeks!H138</f>
        <v>106.39519100504542</v>
      </c>
      <c r="D137" s="91">
        <f t="shared" si="16"/>
        <v>-0.005591345741870171</v>
      </c>
      <c r="E137" s="91">
        <f>(SUM(C135:C137)-SUM(C132:C134))/SUM(C132:C134)</f>
        <v>-0.007895994296599287</v>
      </c>
      <c r="F137" s="91"/>
      <c r="G137" s="91"/>
      <c r="H137" s="139"/>
    </row>
    <row r="138" spans="1:8" ht="13.5" hidden="1" thickBot="1">
      <c r="A138" s="32">
        <f t="shared" si="17"/>
        <v>2016</v>
      </c>
      <c r="B138" s="33" t="s">
        <v>11</v>
      </c>
      <c r="C138" s="78">
        <f>Indeks!H139</f>
        <v>106.33366536060261</v>
      </c>
      <c r="D138" s="148">
        <f t="shared" si="16"/>
        <v>-0.0005782746744624218</v>
      </c>
      <c r="E138" s="148"/>
      <c r="F138" s="148"/>
      <c r="G138" s="148"/>
      <c r="H138" s="78"/>
    </row>
    <row r="139" spans="1:8" ht="13.5" hidden="1" thickBot="1">
      <c r="A139" s="32">
        <f t="shared" si="17"/>
        <v>2016</v>
      </c>
      <c r="B139" s="33" t="s">
        <v>12</v>
      </c>
      <c r="C139" s="78">
        <f>Indeks!H140</f>
        <v>107.00406949674672</v>
      </c>
      <c r="D139" s="148">
        <f t="shared" si="16"/>
        <v>0.0063047214056866675</v>
      </c>
      <c r="E139" s="148"/>
      <c r="F139" s="148"/>
      <c r="G139" s="148"/>
      <c r="H139" s="78"/>
    </row>
    <row r="140" spans="1:8" ht="13.5" hidden="1" thickBot="1">
      <c r="A140" s="63">
        <f t="shared" si="17"/>
        <v>2016</v>
      </c>
      <c r="B140" s="64" t="s">
        <v>13</v>
      </c>
      <c r="C140" s="139">
        <f>Indeks!H141</f>
        <v>106.93461364985474</v>
      </c>
      <c r="D140" s="91">
        <f t="shared" si="16"/>
        <v>-0.0006490953775743583</v>
      </c>
      <c r="E140" s="91">
        <f>(SUM(C138:C140)-SUM(C135:C137))/SUM(C135:C137)</f>
        <v>-0.0030973702299841046</v>
      </c>
      <c r="F140" s="91">
        <f>(SUM(C135:C140)-SUM(C129:C134))/SUM(C129:C134)</f>
        <v>-0.012618912793391996</v>
      </c>
      <c r="G140" s="91"/>
      <c r="H140" s="139"/>
    </row>
    <row r="141" spans="1:8" ht="13.5" hidden="1" thickBot="1">
      <c r="A141" s="70">
        <f t="shared" si="17"/>
        <v>2016</v>
      </c>
      <c r="B141" s="75" t="s">
        <v>31</v>
      </c>
      <c r="C141" s="76">
        <f>Indeks!H142</f>
        <v>107.71403946693806</v>
      </c>
      <c r="D141" s="151">
        <f t="shared" si="16"/>
        <v>0.007288807529014535</v>
      </c>
      <c r="E141" s="151"/>
      <c r="F141" s="151"/>
      <c r="G141" s="151"/>
      <c r="H141" s="76"/>
    </row>
    <row r="142" spans="1:8" ht="13.5" hidden="1" thickBot="1">
      <c r="A142" s="32">
        <f t="shared" si="17"/>
        <v>2016</v>
      </c>
      <c r="B142" s="33" t="s">
        <v>14</v>
      </c>
      <c r="C142" s="78">
        <f>Indeks!H143</f>
        <v>108.09652584565558</v>
      </c>
      <c r="D142" s="148">
        <f t="shared" si="16"/>
        <v>0.0035509426682945743</v>
      </c>
      <c r="E142" s="148"/>
      <c r="F142" s="148"/>
      <c r="G142" s="148"/>
      <c r="H142" s="78"/>
    </row>
    <row r="143" spans="1:8" ht="13.5" hidden="1" thickBot="1">
      <c r="A143" s="63">
        <f t="shared" si="17"/>
        <v>2016</v>
      </c>
      <c r="B143" s="64" t="s">
        <v>15</v>
      </c>
      <c r="C143" s="139">
        <f>Indeks!H144</f>
        <v>107.66155947609626</v>
      </c>
      <c r="D143" s="91">
        <f t="shared" si="16"/>
        <v>-0.0040238700194711275</v>
      </c>
      <c r="E143" s="91">
        <f>(SUM(C141:C143)-SUM(C138:C140))/SUM(C138:C140)</f>
        <v>0.009990797820667419</v>
      </c>
      <c r="F143" s="91"/>
      <c r="G143" s="91"/>
      <c r="H143" s="139"/>
    </row>
    <row r="144" spans="1:8" ht="13.5" hidden="1" thickBot="1">
      <c r="A144" s="32">
        <f t="shared" si="17"/>
        <v>2016</v>
      </c>
      <c r="B144" s="33" t="s">
        <v>16</v>
      </c>
      <c r="C144" s="78">
        <f>Indeks!H145</f>
        <v>107.62900109168257</v>
      </c>
      <c r="D144" s="148">
        <f t="shared" si="16"/>
        <v>-0.00030241420031556306</v>
      </c>
      <c r="E144" s="148"/>
      <c r="F144" s="148"/>
      <c r="G144" s="148"/>
      <c r="H144" s="78"/>
    </row>
    <row r="145" spans="1:8" ht="13.5" hidden="1" thickBot="1">
      <c r="A145" s="32">
        <f t="shared" si="17"/>
        <v>2016</v>
      </c>
      <c r="B145" s="33" t="s">
        <v>17</v>
      </c>
      <c r="C145" s="78">
        <f>Indeks!H146</f>
        <v>108.00141321946754</v>
      </c>
      <c r="D145" s="148">
        <f t="shared" si="16"/>
        <v>0.0034601466519951613</v>
      </c>
      <c r="E145" s="148"/>
      <c r="F145" s="148"/>
      <c r="G145" s="148"/>
      <c r="H145" s="78"/>
    </row>
    <row r="146" spans="1:8" ht="13.5" hidden="1" thickBot="1">
      <c r="A146" s="72">
        <f t="shared" si="17"/>
        <v>2016</v>
      </c>
      <c r="B146" s="73" t="s">
        <v>18</v>
      </c>
      <c r="C146" s="135">
        <f>Indeks!H147</f>
        <v>108.91982850502217</v>
      </c>
      <c r="D146" s="138">
        <f t="shared" si="16"/>
        <v>0.008503733962150446</v>
      </c>
      <c r="E146" s="138">
        <f>(SUM(C144:C146)-SUM(C141:C143))/SUM(C141:C143)</f>
        <v>0.00333295497467263</v>
      </c>
      <c r="F146" s="138">
        <f>(SUM(C141:C146)-SUM(C135:C140))/SUM(C135:C140)</f>
        <v>0.010104730210948605</v>
      </c>
      <c r="G146" s="138">
        <f>(SUM(C135:C146)-SUM(C123:C134))/SUM(C123:C134)</f>
        <v>-0.005701577379102779</v>
      </c>
      <c r="H146" s="135">
        <f>(C135+C136+C137+C138+C139+C140+C141+C142+C143+C144+C145+C146)/12</f>
        <v>107.46351240009544</v>
      </c>
    </row>
    <row r="147" spans="1:8" ht="13.5" hidden="1" thickBot="1">
      <c r="A147" s="74">
        <v>2017</v>
      </c>
      <c r="B147" s="33" t="s">
        <v>8</v>
      </c>
      <c r="C147" s="140">
        <f>Indeks!H148</f>
        <v>108.82413829511057</v>
      </c>
      <c r="D147" s="156">
        <f aca="true" t="shared" si="18" ref="D147:D158">(C147-C146)/C146</f>
        <v>-0.0008785380148407311</v>
      </c>
      <c r="E147" s="156"/>
      <c r="F147" s="156"/>
      <c r="G147" s="156"/>
      <c r="H147" s="140"/>
    </row>
    <row r="148" spans="1:8" ht="13.5" hidden="1" thickBot="1">
      <c r="A148" s="32">
        <f>A147</f>
        <v>2017</v>
      </c>
      <c r="B148" s="33" t="s">
        <v>9</v>
      </c>
      <c r="C148" s="78">
        <f>Indeks!H149</f>
        <v>109.63471583497558</v>
      </c>
      <c r="D148" s="148">
        <f t="shared" si="18"/>
        <v>0.007448508690846459</v>
      </c>
      <c r="E148" s="148"/>
      <c r="F148" s="148"/>
      <c r="G148" s="148"/>
      <c r="H148" s="78"/>
    </row>
    <row r="149" spans="1:8" ht="13.5" hidden="1" thickBot="1">
      <c r="A149" s="63">
        <f aca="true" t="shared" si="19" ref="A149:A158">A148</f>
        <v>2017</v>
      </c>
      <c r="B149" s="64" t="s">
        <v>10</v>
      </c>
      <c r="C149" s="139">
        <f>Indeks!H150</f>
        <v>110.17791280294462</v>
      </c>
      <c r="D149" s="91">
        <f t="shared" si="18"/>
        <v>0.004954607341589406</v>
      </c>
      <c r="E149" s="91">
        <f>(SUM(C147:C149)-SUM(C144:C146))/SUM(C144:C146)</f>
        <v>0.012591345122404079</v>
      </c>
      <c r="F149" s="91"/>
      <c r="G149" s="91"/>
      <c r="H149" s="139"/>
    </row>
    <row r="150" spans="1:8" ht="13.5" hidden="1" thickBot="1">
      <c r="A150" s="32">
        <f t="shared" si="19"/>
        <v>2017</v>
      </c>
      <c r="B150" s="33" t="s">
        <v>11</v>
      </c>
      <c r="C150" s="78">
        <f>Indeks!H151</f>
        <v>110.18666840076489</v>
      </c>
      <c r="D150" s="148">
        <f t="shared" si="18"/>
        <v>7.94678134439545E-05</v>
      </c>
      <c r="E150" s="148"/>
      <c r="F150" s="148"/>
      <c r="G150" s="148"/>
      <c r="H150" s="78"/>
    </row>
    <row r="151" spans="1:8" ht="13.5" hidden="1" thickBot="1">
      <c r="A151" s="32">
        <f t="shared" si="19"/>
        <v>2017</v>
      </c>
      <c r="B151" s="33" t="s">
        <v>12</v>
      </c>
      <c r="C151" s="78">
        <f>Indeks!H152</f>
        <v>109.81782942046338</v>
      </c>
      <c r="D151" s="148">
        <f t="shared" si="18"/>
        <v>-0.0033474011480225845</v>
      </c>
      <c r="E151" s="148"/>
      <c r="F151" s="148"/>
      <c r="G151" s="148"/>
      <c r="H151" s="78"/>
    </row>
    <row r="152" spans="1:8" ht="13.5" hidden="1" thickBot="1">
      <c r="A152" s="63">
        <f t="shared" si="19"/>
        <v>2017</v>
      </c>
      <c r="B152" s="64" t="s">
        <v>13</v>
      </c>
      <c r="C152" s="139">
        <f>Indeks!H153</f>
        <v>110.22833861979277</v>
      </c>
      <c r="D152" s="91">
        <f t="shared" si="18"/>
        <v>0.0037380924527077616</v>
      </c>
      <c r="E152" s="91">
        <f>(SUM(C150:C152)-SUM(C147:C149))/SUM(C147:C149)</f>
        <v>0.0048566370795497535</v>
      </c>
      <c r="F152" s="91">
        <f>(SUM(C147:C152)-SUM(C141:C146))/SUM(C141:C146)</f>
        <v>0.016738983577498562</v>
      </c>
      <c r="G152" s="91"/>
      <c r="H152" s="139"/>
    </row>
    <row r="153" spans="1:8" ht="13.5" hidden="1" thickBot="1">
      <c r="A153" s="70">
        <f t="shared" si="19"/>
        <v>2017</v>
      </c>
      <c r="B153" s="75" t="s">
        <v>31</v>
      </c>
      <c r="C153" s="76">
        <f>Indeks!H154</f>
        <v>109.75058594376397</v>
      </c>
      <c r="D153" s="151">
        <f t="shared" si="18"/>
        <v>-0.004334209169900469</v>
      </c>
      <c r="E153" s="151"/>
      <c r="F153" s="151"/>
      <c r="G153" s="151"/>
      <c r="H153" s="76"/>
    </row>
    <row r="154" spans="1:8" ht="13.5" hidden="1" thickBot="1">
      <c r="A154" s="32">
        <f t="shared" si="19"/>
        <v>2017</v>
      </c>
      <c r="B154" s="33" t="s">
        <v>14</v>
      </c>
      <c r="C154" s="78">
        <f>Indeks!H155</f>
        <v>109.14748480530514</v>
      </c>
      <c r="D154" s="148">
        <f t="shared" si="18"/>
        <v>-0.005495197435828302</v>
      </c>
      <c r="E154" s="148"/>
      <c r="F154" s="148"/>
      <c r="G154" s="148"/>
      <c r="H154" s="78"/>
    </row>
    <row r="155" spans="1:8" ht="13.5" hidden="1" thickBot="1">
      <c r="A155" s="63">
        <f t="shared" si="19"/>
        <v>2017</v>
      </c>
      <c r="B155" s="64" t="s">
        <v>15</v>
      </c>
      <c r="C155" s="139">
        <f>Indeks!H156</f>
        <v>109.22685315140764</v>
      </c>
      <c r="D155" s="91">
        <f t="shared" si="18"/>
        <v>0.0007271660564975346</v>
      </c>
      <c r="E155" s="91">
        <f>(SUM(C153:C155)-SUM(C150:C152))/SUM(C150:C152)</f>
        <v>-0.006383110060349115</v>
      </c>
      <c r="F155" s="91"/>
      <c r="G155" s="91"/>
      <c r="H155" s="139"/>
    </row>
    <row r="156" spans="1:8" ht="13.5" hidden="1" thickBot="1">
      <c r="A156" s="32">
        <f t="shared" si="19"/>
        <v>2017</v>
      </c>
      <c r="B156" s="33" t="s">
        <v>16</v>
      </c>
      <c r="C156" s="78">
        <f>Indeks!H157</f>
        <v>109.57887653833217</v>
      </c>
      <c r="D156" s="148">
        <f t="shared" si="18"/>
        <v>0.0032228648612311708</v>
      </c>
      <c r="E156" s="148"/>
      <c r="F156" s="148"/>
      <c r="G156" s="148"/>
      <c r="H156" s="78"/>
    </row>
    <row r="157" spans="1:8" ht="13.5" hidden="1" thickBot="1">
      <c r="A157" s="32">
        <f t="shared" si="19"/>
        <v>2017</v>
      </c>
      <c r="B157" s="33" t="s">
        <v>17</v>
      </c>
      <c r="C157" s="78">
        <f>Indeks!H158</f>
        <v>110.02306842053328</v>
      </c>
      <c r="D157" s="148">
        <f t="shared" si="18"/>
        <v>0.00405362690541663</v>
      </c>
      <c r="E157" s="148"/>
      <c r="F157" s="148"/>
      <c r="G157" s="148"/>
      <c r="H157" s="78"/>
    </row>
    <row r="158" spans="1:8" ht="13.5" hidden="1" thickBot="1">
      <c r="A158" s="72">
        <f t="shared" si="19"/>
        <v>2017</v>
      </c>
      <c r="B158" s="73" t="s">
        <v>18</v>
      </c>
      <c r="C158" s="135">
        <f>Indeks!H159</f>
        <v>110.56703978888491</v>
      </c>
      <c r="D158" s="138">
        <f t="shared" si="18"/>
        <v>0.004944157404085948</v>
      </c>
      <c r="E158" s="138">
        <f>(SUM(C156:C158)-SUM(C153:C155))/SUM(C153:C155)</f>
        <v>0.006229520217408402</v>
      </c>
      <c r="F158" s="138">
        <f>(SUM(C153:C158)-SUM(C147:C152))/SUM(C147:C152)</f>
        <v>-0.0008737612463475582</v>
      </c>
      <c r="G158" s="138">
        <f>(SUM(C147:C158)-SUM(C135:C146))/SUM(C135:C146)</f>
        <v>0.021403670421618313</v>
      </c>
      <c r="H158" s="135">
        <f>(C147+C148+C149+C150+C151+C152+C153+C154+C155+C156+C157+C158)/12</f>
        <v>109.76362600185657</v>
      </c>
    </row>
    <row r="159" spans="1:8" ht="13.5" hidden="1" thickBot="1">
      <c r="A159" s="74">
        <v>2018</v>
      </c>
      <c r="B159" s="33" t="s">
        <v>8</v>
      </c>
      <c r="C159" s="140">
        <f>Indeks!H160</f>
        <v>111.03285607145689</v>
      </c>
      <c r="D159" s="156">
        <f aca="true" t="shared" si="20" ref="D159:D170">(C159-C158)/C158</f>
        <v>0.004212975977844765</v>
      </c>
      <c r="E159" s="156"/>
      <c r="F159" s="156"/>
      <c r="G159" s="156"/>
      <c r="H159" s="140"/>
    </row>
    <row r="160" spans="1:8" ht="13.5" hidden="1" thickBot="1">
      <c r="A160" s="32">
        <f>A159</f>
        <v>2018</v>
      </c>
      <c r="B160" s="33" t="s">
        <v>9</v>
      </c>
      <c r="C160" s="78">
        <f>Indeks!H161</f>
        <v>111.15248364784418</v>
      </c>
      <c r="D160" s="148">
        <f t="shared" si="20"/>
        <v>0.0010774070002333314</v>
      </c>
      <c r="E160" s="148"/>
      <c r="F160" s="148"/>
      <c r="G160" s="148"/>
      <c r="H160" s="78"/>
    </row>
    <row r="161" spans="1:8" ht="13.5" hidden="1" thickBot="1">
      <c r="A161" s="63">
        <f aca="true" t="shared" si="21" ref="A161:A170">A160</f>
        <v>2018</v>
      </c>
      <c r="B161" s="64" t="s">
        <v>10</v>
      </c>
      <c r="C161" s="139">
        <f>Indeks!H162</f>
        <v>111.60193835031187</v>
      </c>
      <c r="D161" s="91">
        <f t="shared" si="20"/>
        <v>0.004043586681262679</v>
      </c>
      <c r="E161" s="91">
        <f>(SUM(C159:C161)-SUM(C156:C158))/SUM(C156:C158)</f>
        <v>0.010958913432244201</v>
      </c>
      <c r="F161" s="91"/>
      <c r="G161" s="91"/>
      <c r="H161" s="139"/>
    </row>
    <row r="162" spans="1:8" ht="13.5" hidden="1" thickBot="1">
      <c r="A162" s="32">
        <f t="shared" si="21"/>
        <v>2018</v>
      </c>
      <c r="B162" s="33" t="s">
        <v>11</v>
      </c>
      <c r="C162" s="78">
        <f>Indeks!H163</f>
        <v>111.47338915006364</v>
      </c>
      <c r="D162" s="148">
        <f t="shared" si="20"/>
        <v>-0.0011518545479445143</v>
      </c>
      <c r="E162" s="148"/>
      <c r="F162" s="148"/>
      <c r="G162" s="148"/>
      <c r="H162" s="78"/>
    </row>
    <row r="163" spans="1:8" ht="13.5" hidden="1" thickBot="1">
      <c r="A163" s="32">
        <f t="shared" si="21"/>
        <v>2018</v>
      </c>
      <c r="B163" s="33" t="s">
        <v>12</v>
      </c>
      <c r="C163" s="78">
        <f>Indeks!H164</f>
        <v>111.47381500418471</v>
      </c>
      <c r="D163" s="148">
        <f t="shared" si="20"/>
        <v>3.820231216821694E-06</v>
      </c>
      <c r="E163" s="148"/>
      <c r="F163" s="148"/>
      <c r="G163" s="148"/>
      <c r="H163" s="78"/>
    </row>
    <row r="164" spans="1:8" ht="13.5" hidden="1" thickBot="1">
      <c r="A164" s="63">
        <f t="shared" si="21"/>
        <v>2018</v>
      </c>
      <c r="B164" s="64" t="s">
        <v>13</v>
      </c>
      <c r="C164" s="139">
        <f>Indeks!H165</f>
        <v>112.21998969287162</v>
      </c>
      <c r="D164" s="91">
        <f t="shared" si="20"/>
        <v>0.006693721648073991</v>
      </c>
      <c r="E164" s="91">
        <f>(SUM(C162:C164)-SUM(C159:C161))/SUM(C159:C161)</f>
        <v>0.004134117350090447</v>
      </c>
      <c r="F164" s="91">
        <f>(SUM(C159:C164)-SUM(C153:C158))/SUM(C153:C158)</f>
        <v>0.01619423046219089</v>
      </c>
      <c r="G164" s="91"/>
      <c r="H164" s="139"/>
    </row>
    <row r="165" spans="1:8" ht="13.5" hidden="1" thickBot="1">
      <c r="A165" s="70">
        <f t="shared" si="21"/>
        <v>2018</v>
      </c>
      <c r="B165" s="75" t="s">
        <v>31</v>
      </c>
      <c r="C165" s="76">
        <f>Indeks!H166</f>
        <v>113.54964250169532</v>
      </c>
      <c r="D165" s="151">
        <f t="shared" si="20"/>
        <v>0.011848627080279948</v>
      </c>
      <c r="E165" s="151"/>
      <c r="F165" s="151"/>
      <c r="G165" s="151"/>
      <c r="H165" s="76"/>
    </row>
    <row r="166" spans="1:8" ht="13.5" hidden="1" thickBot="1">
      <c r="A166" s="32">
        <f t="shared" si="21"/>
        <v>2018</v>
      </c>
      <c r="B166" s="33" t="s">
        <v>14</v>
      </c>
      <c r="C166" s="78">
        <f>Indeks!H167</f>
        <v>113.31218632829508</v>
      </c>
      <c r="D166" s="148">
        <f t="shared" si="20"/>
        <v>-0.002091210224608919</v>
      </c>
      <c r="E166" s="148"/>
      <c r="F166" s="148"/>
      <c r="G166" s="148"/>
      <c r="H166" s="78"/>
    </row>
    <row r="167" spans="1:8" ht="13.5" hidden="1" thickBot="1">
      <c r="A167" s="63">
        <f t="shared" si="21"/>
        <v>2018</v>
      </c>
      <c r="B167" s="64" t="s">
        <v>15</v>
      </c>
      <c r="C167" s="139">
        <f>Indeks!H168</f>
        <v>113.58114205607819</v>
      </c>
      <c r="D167" s="91">
        <f t="shared" si="20"/>
        <v>0.002373581664057503</v>
      </c>
      <c r="E167" s="91">
        <f>(SUM(C165:C167)-SUM(C162:C164))/SUM(C162:C164)</f>
        <v>0.015740732195153467</v>
      </c>
      <c r="F167" s="91"/>
      <c r="G167" s="91"/>
      <c r="H167" s="139"/>
    </row>
    <row r="168" spans="1:8" ht="13.5" hidden="1" thickBot="1">
      <c r="A168" s="32">
        <f t="shared" si="21"/>
        <v>2018</v>
      </c>
      <c r="B168" s="33" t="s">
        <v>16</v>
      </c>
      <c r="C168" s="78">
        <f>Indeks!H169</f>
        <v>114.22947809124688</v>
      </c>
      <c r="D168" s="148">
        <f t="shared" si="20"/>
        <v>0.005708130975198162</v>
      </c>
      <c r="E168" s="148"/>
      <c r="F168" s="148"/>
      <c r="G168" s="148"/>
      <c r="H168" s="78"/>
    </row>
    <row r="169" spans="1:8" ht="13.5" hidden="1" thickBot="1">
      <c r="A169" s="32">
        <f t="shared" si="21"/>
        <v>2018</v>
      </c>
      <c r="B169" s="33" t="s">
        <v>17</v>
      </c>
      <c r="C169" s="78">
        <f>Indeks!H170</f>
        <v>114.3150610558983</v>
      </c>
      <c r="D169" s="148">
        <f t="shared" si="20"/>
        <v>0.000749219606720591</v>
      </c>
      <c r="E169" s="148"/>
      <c r="F169" s="148"/>
      <c r="G169" s="148"/>
      <c r="H169" s="78"/>
    </row>
    <row r="170" spans="1:8" ht="13.5" hidden="1" thickBot="1">
      <c r="A170" s="72">
        <f t="shared" si="21"/>
        <v>2018</v>
      </c>
      <c r="B170" s="73" t="s">
        <v>18</v>
      </c>
      <c r="C170" s="135">
        <f>Indeks!H171</f>
        <v>115.21063260362148</v>
      </c>
      <c r="D170" s="138">
        <f t="shared" si="20"/>
        <v>0.007834239333391587</v>
      </c>
      <c r="E170" s="138">
        <f>(SUM(C168:C170)-SUM(C165:C167))/SUM(C165:C167)</f>
        <v>0.009729091648088453</v>
      </c>
      <c r="F170" s="138">
        <f>(SUM(C165:C170)-SUM(C159:C164))/SUM(C159:C164)</f>
        <v>0.02278730670029769</v>
      </c>
      <c r="G170" s="138">
        <f>(SUM(C159:C170)-SUM(C147:C158))/SUM(C147:C158)</f>
        <v>0.027323185164789595</v>
      </c>
      <c r="H170" s="135">
        <f>(C159+C160+C161+C162+C163+C164+C165+C166+C167+C168+C169+C170)/12</f>
        <v>112.762717879464</v>
      </c>
    </row>
    <row r="171" spans="1:8" ht="13.5" hidden="1" thickBot="1">
      <c r="A171" s="74">
        <v>2019</v>
      </c>
      <c r="B171" s="33" t="s">
        <v>8</v>
      </c>
      <c r="C171" s="140">
        <f>Indeks!H172</f>
        <v>115.32447919702147</v>
      </c>
      <c r="D171" s="156">
        <f aca="true" t="shared" si="22" ref="D171:D182">(C171-C170)/C170</f>
        <v>0.000988160474664554</v>
      </c>
      <c r="E171" s="156"/>
      <c r="F171" s="156"/>
      <c r="G171" s="156"/>
      <c r="H171" s="140"/>
    </row>
    <row r="172" spans="1:8" ht="13.5" hidden="1" thickBot="1">
      <c r="A172" s="32">
        <f>A171</f>
        <v>2019</v>
      </c>
      <c r="B172" s="33" t="s">
        <v>9</v>
      </c>
      <c r="C172" s="78">
        <f>Indeks!H173</f>
        <v>114.05886841449308</v>
      </c>
      <c r="D172" s="148">
        <f t="shared" si="22"/>
        <v>-0.010974346394976702</v>
      </c>
      <c r="E172" s="148"/>
      <c r="F172" s="148"/>
      <c r="G172" s="148"/>
      <c r="H172" s="78"/>
    </row>
    <row r="173" spans="1:8" ht="13.5" hidden="1" thickBot="1">
      <c r="A173" s="63">
        <f aca="true" t="shared" si="23" ref="A173:A182">A172</f>
        <v>2019</v>
      </c>
      <c r="B173" s="64" t="s">
        <v>10</v>
      </c>
      <c r="C173" s="139">
        <f>Indeks!H174</f>
        <v>113.76792809580697</v>
      </c>
      <c r="D173" s="91">
        <f t="shared" si="22"/>
        <v>-0.002550790856777801</v>
      </c>
      <c r="E173" s="91">
        <f>(SUM(C171:C173)-SUM(C168:C170))/SUM(C168:C170)</f>
        <v>-0.0017567620593733145</v>
      </c>
      <c r="F173" s="91"/>
      <c r="G173" s="91"/>
      <c r="H173" s="139"/>
    </row>
    <row r="174" spans="1:8" ht="13.5" hidden="1" thickBot="1">
      <c r="A174" s="32">
        <f t="shared" si="23"/>
        <v>2019</v>
      </c>
      <c r="B174" s="33" t="s">
        <v>11</v>
      </c>
      <c r="C174" s="78">
        <f>Indeks!H175</f>
        <v>114.42548718976133</v>
      </c>
      <c r="D174" s="148">
        <f t="shared" si="22"/>
        <v>0.0057798283308861335</v>
      </c>
      <c r="E174" s="148"/>
      <c r="F174" s="148"/>
      <c r="G174" s="148"/>
      <c r="H174" s="78"/>
    </row>
    <row r="175" spans="1:8" ht="13.5" hidden="1" thickBot="1">
      <c r="A175" s="32">
        <f t="shared" si="23"/>
        <v>2019</v>
      </c>
      <c r="B175" s="33" t="s">
        <v>12</v>
      </c>
      <c r="C175" s="78">
        <f>Indeks!H176</f>
        <v>114.9081425286415</v>
      </c>
      <c r="D175" s="148">
        <f t="shared" si="22"/>
        <v>0.004218075454463662</v>
      </c>
      <c r="E175" s="148"/>
      <c r="F175" s="148"/>
      <c r="G175" s="148"/>
      <c r="H175" s="78"/>
    </row>
    <row r="176" spans="1:8" ht="13.5" hidden="1" thickBot="1">
      <c r="A176" s="63">
        <f t="shared" si="23"/>
        <v>2019</v>
      </c>
      <c r="B176" s="64" t="s">
        <v>13</v>
      </c>
      <c r="C176" s="139">
        <f>Indeks!H177</f>
        <v>115.12966981526006</v>
      </c>
      <c r="D176" s="91">
        <f t="shared" si="22"/>
        <v>0.0019278641334171422</v>
      </c>
      <c r="E176" s="91">
        <f>(SUM(C174:C176)-SUM(C171:C173))/SUM(C171:C173)</f>
        <v>0.0038234560650749765</v>
      </c>
      <c r="F176" s="91">
        <f>(SUM(C171:C176)-SUM(C165:C170))/SUM(C165:C170)</f>
        <v>0.0049933380277570275</v>
      </c>
      <c r="G176" s="91"/>
      <c r="H176" s="139"/>
    </row>
    <row r="177" spans="1:8" ht="13.5" hidden="1" thickBot="1">
      <c r="A177" s="70">
        <f t="shared" si="23"/>
        <v>2019</v>
      </c>
      <c r="B177" s="75" t="s">
        <v>31</v>
      </c>
      <c r="C177" s="76">
        <f>Indeks!H178</f>
        <v>115.4227270377541</v>
      </c>
      <c r="D177" s="151">
        <f t="shared" si="22"/>
        <v>0.002545453513106473</v>
      </c>
      <c r="E177" s="151"/>
      <c r="F177" s="151"/>
      <c r="G177" s="151"/>
      <c r="H177" s="76"/>
    </row>
    <row r="178" spans="1:8" ht="13.5" hidden="1" thickBot="1">
      <c r="A178" s="32">
        <f t="shared" si="23"/>
        <v>2019</v>
      </c>
      <c r="B178" s="33" t="s">
        <v>14</v>
      </c>
      <c r="C178" s="78">
        <f>Indeks!H179</f>
        <v>114.35614575682416</v>
      </c>
      <c r="D178" s="148">
        <f t="shared" si="22"/>
        <v>-0.009240652238107888</v>
      </c>
      <c r="E178" s="148"/>
      <c r="F178" s="148"/>
      <c r="G178" s="148"/>
      <c r="H178" s="78"/>
    </row>
    <row r="179" spans="1:8" ht="13.5" hidden="1" thickBot="1">
      <c r="A179" s="63">
        <f t="shared" si="23"/>
        <v>2019</v>
      </c>
      <c r="B179" s="64" t="s">
        <v>15</v>
      </c>
      <c r="C179" s="139">
        <f>Indeks!H180</f>
        <v>114.43021496834194</v>
      </c>
      <c r="D179" s="91">
        <f t="shared" si="22"/>
        <v>0.0006477064352561107</v>
      </c>
      <c r="E179" s="91">
        <f>(SUM(C177:C179)-SUM(C174:C176))/SUM(C174:C176)</f>
        <v>-0.0007379937749155092</v>
      </c>
      <c r="F179" s="91"/>
      <c r="G179" s="91"/>
      <c r="H179" s="139"/>
    </row>
    <row r="180" spans="1:8" ht="13.5" hidden="1" thickBot="1">
      <c r="A180" s="32">
        <f t="shared" si="23"/>
        <v>2019</v>
      </c>
      <c r="B180" s="33" t="s">
        <v>16</v>
      </c>
      <c r="C180" s="78">
        <f>Indeks!H181</f>
        <v>114.7158339003598</v>
      </c>
      <c r="D180" s="148">
        <f t="shared" si="22"/>
        <v>0.00249600974792255</v>
      </c>
      <c r="E180" s="148"/>
      <c r="F180" s="148"/>
      <c r="G180" s="148"/>
      <c r="H180" s="78"/>
    </row>
    <row r="181" spans="1:8" ht="13.5" hidden="1" thickBot="1">
      <c r="A181" s="32">
        <f t="shared" si="23"/>
        <v>2019</v>
      </c>
      <c r="B181" s="33" t="s">
        <v>17</v>
      </c>
      <c r="C181" s="78">
        <f>Indeks!H182</f>
        <v>115.32625709959333</v>
      </c>
      <c r="D181" s="148">
        <f t="shared" si="22"/>
        <v>0.00532117649742877</v>
      </c>
      <c r="E181" s="148"/>
      <c r="F181" s="148"/>
      <c r="G181" s="148"/>
      <c r="H181" s="78"/>
    </row>
    <row r="182" spans="1:8" ht="13.5" hidden="1" thickBot="1">
      <c r="A182" s="72">
        <f t="shared" si="23"/>
        <v>2019</v>
      </c>
      <c r="B182" s="73" t="s">
        <v>18</v>
      </c>
      <c r="C182" s="135">
        <f>Indeks!H183</f>
        <v>115.35850327339361</v>
      </c>
      <c r="D182" s="138">
        <f t="shared" si="22"/>
        <v>0.00027960825757509215</v>
      </c>
      <c r="E182" s="138">
        <f>(SUM(C180:C182)-SUM(C177:C179))/SUM(C177:C179)</f>
        <v>0.0034615777235005303</v>
      </c>
      <c r="F182" s="138">
        <f>(SUM(C177:C182)-SUM(C171:C176))/SUM(C171:C176)</f>
        <v>0.002901489972901269</v>
      </c>
      <c r="G182" s="138">
        <f>(SUM(C171:C182)-SUM(C159:C170))/SUM(C159:C170)</f>
        <v>0.017789303634183726</v>
      </c>
      <c r="H182" s="135">
        <f>(C171+C172+C173+C174+C175+C176+C177+C178+C179+C180+C181+C182)/12</f>
        <v>114.7686881064376</v>
      </c>
    </row>
    <row r="183" spans="1:8" ht="13.5" hidden="1" thickBot="1">
      <c r="A183" s="74">
        <v>2020</v>
      </c>
      <c r="B183" s="33" t="s">
        <v>8</v>
      </c>
      <c r="C183" s="140">
        <f>Indeks!H184</f>
        <v>115.49528725236792</v>
      </c>
      <c r="D183" s="156">
        <f aca="true" t="shared" si="24" ref="D183:D194">(C183-C182)/C182</f>
        <v>0.001185729487579571</v>
      </c>
      <c r="E183" s="156"/>
      <c r="F183" s="156"/>
      <c r="G183" s="156"/>
      <c r="H183" s="140"/>
    </row>
    <row r="184" spans="1:8" ht="13.5" hidden="1" thickBot="1">
      <c r="A184" s="32">
        <f>A183</f>
        <v>2020</v>
      </c>
      <c r="B184" s="33" t="s">
        <v>9</v>
      </c>
      <c r="C184" s="78">
        <f>Indeks!H185</f>
        <v>115.95946691988824</v>
      </c>
      <c r="D184" s="148">
        <f t="shared" si="24"/>
        <v>0.004019035569010284</v>
      </c>
      <c r="E184" s="148"/>
      <c r="F184" s="148"/>
      <c r="G184" s="148"/>
      <c r="H184" s="78"/>
    </row>
    <row r="185" spans="1:8" ht="13.5" hidden="1" thickBot="1">
      <c r="A185" s="63">
        <f aca="true" t="shared" si="25" ref="A185:A194">A184</f>
        <v>2020</v>
      </c>
      <c r="B185" s="64" t="s">
        <v>10</v>
      </c>
      <c r="C185" s="139">
        <f>Indeks!H186</f>
        <v>116.635540417017</v>
      </c>
      <c r="D185" s="91">
        <f t="shared" si="24"/>
        <v>0.0058302570293448045</v>
      </c>
      <c r="E185" s="91">
        <f>(SUM(C183:C185)-SUM(C180:C182))/SUM(C180:C182)</f>
        <v>0.0077871907591386845</v>
      </c>
      <c r="F185" s="91"/>
      <c r="G185" s="91"/>
      <c r="H185" s="139"/>
    </row>
    <row r="186" spans="1:8" ht="13.5" hidden="1" thickBot="1">
      <c r="A186" s="32">
        <f t="shared" si="25"/>
        <v>2020</v>
      </c>
      <c r="B186" s="33" t="s">
        <v>11</v>
      </c>
      <c r="C186" s="78">
        <f>Indeks!H187</f>
        <v>115.67789442141986</v>
      </c>
      <c r="D186" s="148">
        <f t="shared" si="24"/>
        <v>-0.008210584802652602</v>
      </c>
      <c r="E186" s="148"/>
      <c r="F186" s="148"/>
      <c r="G186" s="148"/>
      <c r="H186" s="78"/>
    </row>
    <row r="187" spans="1:8" ht="13.5" hidden="1" thickBot="1">
      <c r="A187" s="32">
        <f t="shared" si="25"/>
        <v>2020</v>
      </c>
      <c r="B187" s="33" t="s">
        <v>12</v>
      </c>
      <c r="C187" s="78">
        <f>Indeks!H188</f>
        <v>114.87188483156237</v>
      </c>
      <c r="D187" s="148">
        <f t="shared" si="24"/>
        <v>-0.006967706266515933</v>
      </c>
      <c r="E187" s="148"/>
      <c r="F187" s="148"/>
      <c r="G187" s="148"/>
      <c r="H187" s="78"/>
    </row>
    <row r="188" spans="1:8" ht="13.5" hidden="1" thickBot="1">
      <c r="A188" s="63">
        <f t="shared" si="25"/>
        <v>2020</v>
      </c>
      <c r="B188" s="64" t="s">
        <v>13</v>
      </c>
      <c r="C188" s="139">
        <f>Indeks!H189</f>
        <v>113.29293158687308</v>
      </c>
      <c r="D188" s="91">
        <f t="shared" si="24"/>
        <v>-0.013745341142478166</v>
      </c>
      <c r="E188" s="91">
        <f>(SUM(C186:C188)-SUM(C183:C185))/SUM(C183:C185)</f>
        <v>-0.012202534271832441</v>
      </c>
      <c r="F188" s="91">
        <f>(SUM(C183:C188)-SUM(C177:C182))/SUM(C177:C182)</f>
        <v>0.003369041145132107</v>
      </c>
      <c r="G188" s="91"/>
      <c r="H188" s="139"/>
    </row>
    <row r="189" spans="1:8" ht="13.5" hidden="1" thickBot="1">
      <c r="A189" s="70">
        <f t="shared" si="25"/>
        <v>2020</v>
      </c>
      <c r="B189" s="75" t="s">
        <v>31</v>
      </c>
      <c r="C189" s="76">
        <f>Indeks!H190</f>
        <v>112.72071229548855</v>
      </c>
      <c r="D189" s="151">
        <f t="shared" si="24"/>
        <v>-0.005050794284952804</v>
      </c>
      <c r="E189" s="151"/>
      <c r="F189" s="151"/>
      <c r="G189" s="151"/>
      <c r="H189" s="76"/>
    </row>
    <row r="190" spans="1:8" ht="13.5" hidden="1" thickBot="1">
      <c r="A190" s="32">
        <f t="shared" si="25"/>
        <v>2020</v>
      </c>
      <c r="B190" s="33" t="s">
        <v>14</v>
      </c>
      <c r="C190" s="78">
        <f>Indeks!H191</f>
        <v>113.49243885353881</v>
      </c>
      <c r="D190" s="148">
        <f t="shared" si="24"/>
        <v>0.0068463598422554344</v>
      </c>
      <c r="E190" s="148"/>
      <c r="F190" s="148"/>
      <c r="G190" s="148"/>
      <c r="H190" s="78"/>
    </row>
    <row r="191" spans="1:8" ht="13.5" hidden="1" thickBot="1">
      <c r="A191" s="63">
        <f t="shared" si="25"/>
        <v>2020</v>
      </c>
      <c r="B191" s="64" t="s">
        <v>15</v>
      </c>
      <c r="C191" s="139">
        <f>Indeks!H192</f>
        <v>114.07119691049098</v>
      </c>
      <c r="D191" s="91">
        <f t="shared" si="24"/>
        <v>0.005099529649715706</v>
      </c>
      <c r="E191" s="91">
        <f>(SUM(C189:C191)-SUM(C186:C188))/SUM(C186:C188)</f>
        <v>-0.01034880969744988</v>
      </c>
      <c r="F191" s="91"/>
      <c r="G191" s="91"/>
      <c r="H191" s="139"/>
    </row>
    <row r="192" spans="1:8" ht="13.5" hidden="1" thickBot="1">
      <c r="A192" s="70">
        <f t="shared" si="25"/>
        <v>2020</v>
      </c>
      <c r="B192" s="71" t="s">
        <v>16</v>
      </c>
      <c r="C192" s="76">
        <f>Indeks!H193</f>
        <v>114.34913890532042</v>
      </c>
      <c r="D192" s="151">
        <f t="shared" si="24"/>
        <v>0.002436565954923116</v>
      </c>
      <c r="E192" s="151"/>
      <c r="F192" s="151"/>
      <c r="G192" s="151"/>
      <c r="H192" s="76"/>
    </row>
    <row r="193" spans="1:8" ht="13.5" hidden="1" thickBot="1">
      <c r="A193" s="32">
        <f t="shared" si="25"/>
        <v>2020</v>
      </c>
      <c r="B193" s="33" t="s">
        <v>17</v>
      </c>
      <c r="C193" s="78">
        <f>Indeks!H194</f>
        <v>113.86439011534036</v>
      </c>
      <c r="D193" s="148">
        <f t="shared" si="24"/>
        <v>-0.004239199303297119</v>
      </c>
      <c r="E193" s="148"/>
      <c r="F193" s="148"/>
      <c r="G193" s="148"/>
      <c r="H193" s="78"/>
    </row>
    <row r="194" spans="1:8" ht="13.5" hidden="1" thickBot="1">
      <c r="A194" s="72">
        <f t="shared" si="25"/>
        <v>2020</v>
      </c>
      <c r="B194" s="73" t="s">
        <v>18</v>
      </c>
      <c r="C194" s="135">
        <f>Indeks!H195</f>
        <v>113.74134760862323</v>
      </c>
      <c r="D194" s="138">
        <f t="shared" si="24"/>
        <v>-0.0010806056800768823</v>
      </c>
      <c r="E194" s="138">
        <f>(SUM(C192:C194)-SUM(C189:C191))/SUM(C189:C191)</f>
        <v>0.004909213659963677</v>
      </c>
      <c r="F194" s="138">
        <f>(SUM(C189:C194)-SUM(C183:C188))/SUM(C183:C188)</f>
        <v>-0.01400970999253646</v>
      </c>
      <c r="G194" s="138">
        <f>(SUM(C183:C194)-SUM(C171:C182))/SUM(C171:C182)</f>
        <v>-0.0022160713066106154</v>
      </c>
      <c r="H194" s="135">
        <f>(C183+C184+C185+C186+C187+C188+C189+C190+C191+C192+C193+C194)/12</f>
        <v>114.51435250982757</v>
      </c>
    </row>
    <row r="195" spans="1:8" ht="12.75">
      <c r="A195" s="74">
        <v>2021</v>
      </c>
      <c r="B195" s="33" t="s">
        <v>8</v>
      </c>
      <c r="C195" s="140">
        <f>Indeks!H196</f>
        <v>114.33872793080046</v>
      </c>
      <c r="D195" s="156">
        <f aca="true" t="shared" si="26" ref="D195:D206">(C195-C194)/C194</f>
        <v>0.005252094640488856</v>
      </c>
      <c r="E195" s="156"/>
      <c r="F195" s="156"/>
      <c r="G195" s="156"/>
      <c r="H195" s="140"/>
    </row>
    <row r="196" spans="1:8" ht="12.75">
      <c r="A196" s="32">
        <f>A195</f>
        <v>2021</v>
      </c>
      <c r="B196" s="33" t="s">
        <v>9</v>
      </c>
      <c r="C196" s="78">
        <f>Indeks!H197</f>
        <v>114.96785702200084</v>
      </c>
      <c r="D196" s="148">
        <f t="shared" si="26"/>
        <v>0.005502327186822837</v>
      </c>
      <c r="E196" s="148"/>
      <c r="F196" s="148"/>
      <c r="G196" s="148"/>
      <c r="H196" s="78"/>
    </row>
    <row r="197" spans="1:8" ht="12.75">
      <c r="A197" s="63">
        <f aca="true" t="shared" si="27" ref="A197:A206">A196</f>
        <v>2021</v>
      </c>
      <c r="B197" s="64" t="s">
        <v>10</v>
      </c>
      <c r="C197" s="139">
        <f>Indeks!H198</f>
        <v>115.65629152022137</v>
      </c>
      <c r="D197" s="91">
        <f t="shared" si="26"/>
        <v>0.0059880606288833255</v>
      </c>
      <c r="E197" s="91">
        <f>(SUM(C195:C197)-SUM(C192:C194))/SUM(C192:C194)</f>
        <v>0.008796481785518357</v>
      </c>
      <c r="F197" s="91"/>
      <c r="G197" s="91"/>
      <c r="H197" s="139"/>
    </row>
    <row r="198" spans="1:8" ht="12.75">
      <c r="A198" s="32">
        <f t="shared" si="27"/>
        <v>2021</v>
      </c>
      <c r="B198" s="33" t="s">
        <v>11</v>
      </c>
      <c r="C198" s="78">
        <f>Indeks!H199</f>
        <v>117.0426976947823</v>
      </c>
      <c r="D198" s="148">
        <f t="shared" si="26"/>
        <v>0.011987295773862266</v>
      </c>
      <c r="E198" s="148"/>
      <c r="F198" s="148"/>
      <c r="G198" s="148"/>
      <c r="H198" s="78"/>
    </row>
    <row r="199" spans="1:8" ht="12.75">
      <c r="A199" s="32">
        <f t="shared" si="27"/>
        <v>2021</v>
      </c>
      <c r="B199" s="33" t="s">
        <v>12</v>
      </c>
      <c r="C199" s="78">
        <f>Indeks!H200</f>
        <v>117.88261404066569</v>
      </c>
      <c r="D199" s="148">
        <f t="shared" si="26"/>
        <v>0.0071761533391315885</v>
      </c>
      <c r="E199" s="148"/>
      <c r="F199" s="148"/>
      <c r="G199" s="148"/>
      <c r="H199" s="78"/>
    </row>
    <row r="200" spans="1:8" ht="12.75">
      <c r="A200" s="63">
        <f t="shared" si="27"/>
        <v>2021</v>
      </c>
      <c r="B200" s="64" t="s">
        <v>13</v>
      </c>
      <c r="C200" s="139">
        <f>Indeks!H201</f>
        <v>117.52325873951575</v>
      </c>
      <c r="D200" s="91">
        <f t="shared" si="26"/>
        <v>-0.0030484164613618636</v>
      </c>
      <c r="E200" s="91">
        <f>(SUM(C198:C200)-SUM(C195:C197))/SUM(C195:C197)</f>
        <v>0.021699998789656613</v>
      </c>
      <c r="F200" s="91">
        <f>(SUM(C195:C200)-SUM(C189:C194))/SUM(C189:C194)</f>
        <v>0.022238859494050293</v>
      </c>
      <c r="G200" s="91"/>
      <c r="H200" s="139"/>
    </row>
    <row r="201" spans="1:8" ht="12.75">
      <c r="A201" s="70">
        <f t="shared" si="27"/>
        <v>2021</v>
      </c>
      <c r="B201" s="75" t="s">
        <v>31</v>
      </c>
      <c r="C201" s="76">
        <f>Indeks!H202</f>
        <v>118.60971933724922</v>
      </c>
      <c r="D201" s="151">
        <f t="shared" si="26"/>
        <v>0.009244643225402279</v>
      </c>
      <c r="E201" s="151"/>
      <c r="F201" s="151"/>
      <c r="G201" s="151"/>
      <c r="H201" s="76"/>
    </row>
    <row r="202" spans="1:8" ht="12.75">
      <c r="A202" s="32">
        <f t="shared" si="27"/>
        <v>2021</v>
      </c>
      <c r="B202" s="33" t="s">
        <v>14</v>
      </c>
      <c r="C202" s="78">
        <f>Indeks!H203</f>
        <v>119.02629947809577</v>
      </c>
      <c r="D202" s="148">
        <f t="shared" si="26"/>
        <v>0.003512192282169257</v>
      </c>
      <c r="E202" s="148"/>
      <c r="F202" s="148"/>
      <c r="G202" s="148"/>
      <c r="H202" s="78"/>
    </row>
    <row r="203" spans="1:8" ht="12.75">
      <c r="A203" s="63">
        <f t="shared" si="27"/>
        <v>2021</v>
      </c>
      <c r="B203" s="64" t="s">
        <v>15</v>
      </c>
      <c r="C203" s="139">
        <f>Indeks!H204</f>
        <v>119.4318469042836</v>
      </c>
      <c r="D203" s="91">
        <f t="shared" si="26"/>
        <v>0.003407208557823556</v>
      </c>
      <c r="E203" s="91">
        <f>(SUM(C201:C203)-SUM(C198:C200))/SUM(C198:C200)</f>
        <v>0.013106295873011558</v>
      </c>
      <c r="F203" s="91"/>
      <c r="G203" s="91"/>
      <c r="H203" s="139"/>
    </row>
    <row r="204" spans="1:8" ht="12.75">
      <c r="A204" s="70">
        <f t="shared" si="27"/>
        <v>2021</v>
      </c>
      <c r="B204" s="71" t="s">
        <v>16</v>
      </c>
      <c r="C204" s="76">
        <f>Indeks!H205</f>
        <v>120.23852615706711</v>
      </c>
      <c r="D204" s="151">
        <f t="shared" si="26"/>
        <v>0.006754306105891575</v>
      </c>
      <c r="E204" s="151"/>
      <c r="F204" s="151"/>
      <c r="G204" s="151"/>
      <c r="H204" s="76"/>
    </row>
    <row r="205" spans="1:8" ht="12.75">
      <c r="A205" s="32">
        <f t="shared" si="27"/>
        <v>2021</v>
      </c>
      <c r="B205" s="33" t="s">
        <v>17</v>
      </c>
      <c r="C205" s="78">
        <f>Indeks!H206</f>
        <v>120.86643200403309</v>
      </c>
      <c r="D205" s="148">
        <f t="shared" si="26"/>
        <v>0.005222168526464988</v>
      </c>
      <c r="E205" s="148"/>
      <c r="F205" s="148"/>
      <c r="G205" s="148"/>
      <c r="H205" s="78"/>
    </row>
    <row r="206" spans="1:8" ht="13.5" thickBot="1">
      <c r="A206" s="72">
        <f t="shared" si="27"/>
        <v>2021</v>
      </c>
      <c r="B206" s="73" t="s">
        <v>18</v>
      </c>
      <c r="C206" s="135">
        <f>Indeks!H207</f>
        <v>122.87693223945699</v>
      </c>
      <c r="D206" s="138">
        <f t="shared" si="26"/>
        <v>0.016634066234012916</v>
      </c>
      <c r="E206" s="138">
        <f>(SUM(C204:C206)-SUM(C201:C203))/SUM(C201:C203)</f>
        <v>0.019363334941928188</v>
      </c>
      <c r="F206" s="138">
        <f>(SUM(C201:C206)-SUM(C195:C200))/SUM(C195:C200)</f>
        <v>0.033894352144125776</v>
      </c>
      <c r="G206" s="138">
        <f>(SUM(C195:C206)-SUM(C183:C194))/SUM(C183:C194)</f>
        <v>0.032229564809674836</v>
      </c>
      <c r="H206" s="135">
        <f>(C195+C196+C197+C198+C199+C200+C201+C202+C203+C204+C205+C206)/12</f>
        <v>118.20510025568102</v>
      </c>
    </row>
    <row r="207" spans="1:8" ht="12.75">
      <c r="A207" s="74">
        <v>2022</v>
      </c>
      <c r="B207" s="33" t="s">
        <v>8</v>
      </c>
      <c r="C207" s="140">
        <f>Indeks!H208</f>
        <v>123.40793614752444</v>
      </c>
      <c r="D207" s="156">
        <f aca="true" t="shared" si="28" ref="D207:D218">(C207-C206)/C206</f>
        <v>0.004321428753060426</v>
      </c>
      <c r="E207" s="156"/>
      <c r="F207" s="156"/>
      <c r="G207" s="156"/>
      <c r="H207" s="140"/>
    </row>
    <row r="208" spans="1:27" ht="12.75">
      <c r="A208" s="32">
        <f>A207</f>
        <v>2022</v>
      </c>
      <c r="B208" s="33" t="s">
        <v>9</v>
      </c>
      <c r="C208" s="78">
        <f>Indeks!H209</f>
        <v>122.83057063615095</v>
      </c>
      <c r="D208" s="148">
        <f t="shared" si="28"/>
        <v>-0.004678512009821566</v>
      </c>
      <c r="E208" s="148"/>
      <c r="F208" s="148"/>
      <c r="G208" s="148"/>
      <c r="H208" s="78"/>
      <c r="W208" s="67"/>
      <c r="X208" s="67"/>
      <c r="Y208" s="67"/>
      <c r="Z208" s="67"/>
      <c r="AA208" s="67"/>
    </row>
    <row r="209" spans="1:27" ht="12.75">
      <c r="A209" s="63">
        <f aca="true" t="shared" si="29" ref="A209:A218">A208</f>
        <v>2022</v>
      </c>
      <c r="B209" s="64" t="s">
        <v>10</v>
      </c>
      <c r="C209" s="139">
        <f>Indeks!H210</f>
        <v>124.16274130176751</v>
      </c>
      <c r="D209" s="91">
        <f t="shared" si="28"/>
        <v>0.010845595349082261</v>
      </c>
      <c r="E209" s="91">
        <f>(SUM(C207:C209)-SUM(C204:C206))/SUM(C204:C206)</f>
        <v>0.01763647547909966</v>
      </c>
      <c r="F209" s="91"/>
      <c r="G209" s="91"/>
      <c r="H209" s="139"/>
      <c r="W209" s="67"/>
      <c r="X209" s="67"/>
      <c r="Y209" s="67"/>
      <c r="Z209" s="67"/>
      <c r="AA209" s="67"/>
    </row>
    <row r="210" spans="1:27" ht="12.75">
      <c r="A210" s="70">
        <f t="shared" si="29"/>
        <v>2022</v>
      </c>
      <c r="B210" s="71" t="s">
        <v>11</v>
      </c>
      <c r="C210" s="76">
        <f>Indeks!H211</f>
        <v>125.87533793282556</v>
      </c>
      <c r="D210" s="151">
        <f t="shared" si="28"/>
        <v>0.01379316059795845</v>
      </c>
      <c r="E210" s="151"/>
      <c r="F210" s="151"/>
      <c r="G210" s="151"/>
      <c r="H210" s="76"/>
      <c r="W210" s="67"/>
      <c r="X210" s="67"/>
      <c r="Y210" s="67"/>
      <c r="Z210" s="67"/>
      <c r="AA210" s="67"/>
    </row>
    <row r="211" spans="1:27" ht="12.75">
      <c r="A211" s="32">
        <f t="shared" si="29"/>
        <v>2022</v>
      </c>
      <c r="B211" s="33" t="s">
        <v>12</v>
      </c>
      <c r="C211" s="78">
        <f>Indeks!H212</f>
        <v>130.16336141122974</v>
      </c>
      <c r="D211" s="148">
        <f t="shared" si="28"/>
        <v>0.03406563627811291</v>
      </c>
      <c r="E211" s="148"/>
      <c r="F211" s="148"/>
      <c r="G211" s="148"/>
      <c r="H211" s="78"/>
      <c r="W211" s="67"/>
      <c r="X211" s="67"/>
      <c r="Y211" s="67"/>
      <c r="Z211" s="67"/>
      <c r="AA211" s="67"/>
    </row>
    <row r="212" spans="1:8" ht="13.5" thickBot="1">
      <c r="A212" s="72">
        <f t="shared" si="29"/>
        <v>2022</v>
      </c>
      <c r="B212" s="73" t="s">
        <v>13</v>
      </c>
      <c r="C212" s="135">
        <f>Indeks!H213</f>
        <v>130.74571637608227</v>
      </c>
      <c r="D212" s="138">
        <f t="shared" si="28"/>
        <v>0.004474031390543707</v>
      </c>
      <c r="E212" s="138">
        <f>(SUM(C210:C212)-SUM(C207:C209))/SUM(C207:C209)</f>
        <v>0.04423086509394112</v>
      </c>
      <c r="F212" s="138">
        <f>(SUM(C207:C212)-SUM(C201:C206))/SUM(C201:C206)</f>
        <v>0.05011569226489226</v>
      </c>
      <c r="G212" s="138"/>
      <c r="H212" s="135"/>
    </row>
    <row r="213" spans="1:8" ht="12.75">
      <c r="A213" s="70">
        <f t="shared" si="29"/>
        <v>2022</v>
      </c>
      <c r="B213" s="75" t="s">
        <v>31</v>
      </c>
      <c r="C213" s="76">
        <f>Indeks!H214</f>
        <v>132.91404464500877</v>
      </c>
      <c r="D213" s="151">
        <f t="shared" si="28"/>
        <v>0.01658431594568983</v>
      </c>
      <c r="E213" s="151"/>
      <c r="F213" s="151"/>
      <c r="G213" s="151"/>
      <c r="H213" s="76"/>
    </row>
    <row r="214" spans="1:27" ht="12.75">
      <c r="A214" s="32">
        <f t="shared" si="29"/>
        <v>2022</v>
      </c>
      <c r="B214" s="33" t="s">
        <v>14</v>
      </c>
      <c r="C214" s="78">
        <f>Indeks!H215</f>
        <v>136.28907741092232</v>
      </c>
      <c r="D214" s="148">
        <f>(C214-C213)/C213</f>
        <v>0.025392596959393526</v>
      </c>
      <c r="E214" s="148"/>
      <c r="F214" s="148"/>
      <c r="G214" s="148"/>
      <c r="H214" s="78"/>
      <c r="W214" s="67"/>
      <c r="X214" s="67"/>
      <c r="Y214" s="67"/>
      <c r="Z214" s="67"/>
      <c r="AA214" s="67"/>
    </row>
    <row r="215" spans="1:27" ht="12.75">
      <c r="A215" s="63">
        <f t="shared" si="29"/>
        <v>2022</v>
      </c>
      <c r="B215" s="64" t="s">
        <v>15</v>
      </c>
      <c r="C215" s="139">
        <f>Indeks!H216</f>
        <v>134.90429434343835</v>
      </c>
      <c r="D215" s="91">
        <f t="shared" si="28"/>
        <v>-0.010160631312432583</v>
      </c>
      <c r="E215" s="91">
        <f>(SUM(C213:C215)-SUM(C210:C212))/SUM(C210:C212)</f>
        <v>0.04478722506691191</v>
      </c>
      <c r="F215" s="91"/>
      <c r="G215" s="91"/>
      <c r="H215" s="139"/>
      <c r="W215" s="67"/>
      <c r="X215" s="67"/>
      <c r="Y215" s="67"/>
      <c r="Z215" s="67"/>
      <c r="AA215" s="67"/>
    </row>
    <row r="216" spans="1:27" ht="12.75">
      <c r="A216" s="70">
        <f t="shared" si="29"/>
        <v>2022</v>
      </c>
      <c r="B216" s="71" t="s">
        <v>16</v>
      </c>
      <c r="C216" s="76">
        <f>Indeks!H217</f>
        <v>134.36089140688597</v>
      </c>
      <c r="D216" s="151">
        <f t="shared" si="28"/>
        <v>-0.004028062554991701</v>
      </c>
      <c r="E216" s="151"/>
      <c r="F216" s="151"/>
      <c r="G216" s="151"/>
      <c r="H216" s="76"/>
      <c r="W216" s="67"/>
      <c r="X216" s="67"/>
      <c r="Y216" s="67"/>
      <c r="Z216" s="67"/>
      <c r="AA216" s="67"/>
    </row>
    <row r="217" spans="1:27" ht="12.75">
      <c r="A217" s="32">
        <f t="shared" si="29"/>
        <v>2022</v>
      </c>
      <c r="B217" s="33" t="s">
        <v>17</v>
      </c>
      <c r="C217" s="78">
        <f>Indeks!H218</f>
        <v>135.5762728004265</v>
      </c>
      <c r="D217" s="148">
        <f t="shared" si="28"/>
        <v>0.009045648483084099</v>
      </c>
      <c r="E217" s="148"/>
      <c r="F217" s="148"/>
      <c r="G217" s="148"/>
      <c r="H217" s="78"/>
      <c r="W217" s="67"/>
      <c r="X217" s="67"/>
      <c r="Y217" s="67"/>
      <c r="Z217" s="67"/>
      <c r="AA217" s="67"/>
    </row>
    <row r="218" spans="1:8" ht="13.5" thickBot="1">
      <c r="A218" s="72">
        <f t="shared" si="29"/>
        <v>2022</v>
      </c>
      <c r="B218" s="73" t="s">
        <v>18</v>
      </c>
      <c r="C218" s="135">
        <f>Indeks!H219</f>
        <v>138.03666081619983</v>
      </c>
      <c r="D218" s="138">
        <f t="shared" si="28"/>
        <v>0.01814762985404621</v>
      </c>
      <c r="E218" s="138">
        <f>(SUM(C216:C218)-SUM(C213:C215))/SUM(C213:C215)</f>
        <v>0.00956777447588787</v>
      </c>
      <c r="F218" s="138">
        <f>(SUM(C213:C218)-SUM(C207:C212))/SUM(C207:C212)</f>
        <v>0.07249949416817858</v>
      </c>
      <c r="G218" s="138">
        <f>(SUM(C207:C218)-SUM(C195:C206))/SUM(C195:C206)</f>
        <v>0.10631640952469697</v>
      </c>
      <c r="H218" s="135">
        <f>(C207+C208+C209+C210+C211+C212+C213+C214+C215+C216+C217+C218)/12</f>
        <v>130.77224210237185</v>
      </c>
    </row>
    <row r="219" spans="1:8" ht="12.75">
      <c r="A219" s="74">
        <v>2023</v>
      </c>
      <c r="B219" s="33" t="s">
        <v>8</v>
      </c>
      <c r="C219" s="140">
        <f>Indeks!H220</f>
        <v>135.99397395594627</v>
      </c>
      <c r="D219" s="156">
        <f aca="true" t="shared" si="30" ref="D219:D230">(C219-C218)/C218</f>
        <v>-0.014798147449926042</v>
      </c>
      <c r="E219" s="156"/>
      <c r="F219" s="156"/>
      <c r="G219" s="156"/>
      <c r="H219" s="140"/>
    </row>
    <row r="220" spans="1:27" ht="12.75">
      <c r="A220" s="32">
        <f>A219</f>
        <v>2023</v>
      </c>
      <c r="B220" s="33" t="s">
        <v>9</v>
      </c>
      <c r="C220" s="78">
        <f>Indeks!H221</f>
        <v>133.67715512445682</v>
      </c>
      <c r="D220" s="148">
        <f t="shared" si="30"/>
        <v>-0.01703618744342278</v>
      </c>
      <c r="E220" s="148"/>
      <c r="F220" s="148"/>
      <c r="G220" s="148"/>
      <c r="H220" s="78"/>
      <c r="W220" s="67"/>
      <c r="X220" s="67"/>
      <c r="Y220" s="67"/>
      <c r="Z220" s="67"/>
      <c r="AA220" s="67"/>
    </row>
    <row r="221" spans="1:8" ht="12.75">
      <c r="A221" s="224">
        <f aca="true" t="shared" si="31" ref="A221:A230">A220</f>
        <v>2023</v>
      </c>
      <c r="B221" s="64" t="s">
        <v>10</v>
      </c>
      <c r="C221" s="139">
        <f>Indeks!H222</f>
        <v>134.84297792753796</v>
      </c>
      <c r="D221" s="91">
        <f t="shared" si="30"/>
        <v>0.008721182029911775</v>
      </c>
      <c r="E221" s="91">
        <f>(SUM(C219:C221)-SUM(C216:C218))/SUM(C216:C218)</f>
        <v>-0.008480245063201912</v>
      </c>
      <c r="F221" s="91"/>
      <c r="G221" s="91"/>
      <c r="H221" s="139"/>
    </row>
    <row r="222" spans="1:27" ht="12.75">
      <c r="A222" s="70">
        <f t="shared" si="31"/>
        <v>2023</v>
      </c>
      <c r="B222" s="71" t="s">
        <v>11</v>
      </c>
      <c r="C222" s="76">
        <f>Indeks!H223</f>
        <v>134.86015752764487</v>
      </c>
      <c r="D222" s="151">
        <f t="shared" si="30"/>
        <v>0.00012740448461577277</v>
      </c>
      <c r="E222" s="151"/>
      <c r="F222" s="151"/>
      <c r="G222" s="151"/>
      <c r="H222" s="76"/>
      <c r="W222" s="67"/>
      <c r="X222" s="67"/>
      <c r="Y222" s="67"/>
      <c r="Z222" s="67"/>
      <c r="AA222" s="67"/>
    </row>
    <row r="223" spans="1:8" ht="12.75">
      <c r="A223" s="223">
        <f t="shared" si="31"/>
        <v>2023</v>
      </c>
      <c r="B223" s="33" t="s">
        <v>12</v>
      </c>
      <c r="C223" s="78">
        <f>Indeks!H224</f>
        <v>134.02118502417233</v>
      </c>
      <c r="D223" s="148">
        <f t="shared" si="30"/>
        <v>-0.006221055342461445</v>
      </c>
      <c r="E223" s="148"/>
      <c r="F223" s="148"/>
      <c r="G223" s="148"/>
      <c r="H223" s="78"/>
    </row>
    <row r="224" spans="1:8" ht="13.5" thickBot="1">
      <c r="A224" s="72">
        <f t="shared" si="31"/>
        <v>2023</v>
      </c>
      <c r="B224" s="73" t="s">
        <v>13</v>
      </c>
      <c r="C224" s="135">
        <f>Indeks!H225</f>
        <v>133.1500672061686</v>
      </c>
      <c r="D224" s="138">
        <f t="shared" si="30"/>
        <v>-0.006499851630521121</v>
      </c>
      <c r="E224" s="138">
        <f>(SUM(C222:C224)-SUM(C219:C221))/SUM(C219:C221)</f>
        <v>-0.006137480020953948</v>
      </c>
      <c r="F224" s="138">
        <f>(SUM(C219:C224)-SUM(C213:C218))/SUM(C213:C218)</f>
        <v>-0.0068167128786961635</v>
      </c>
      <c r="G224" s="138"/>
      <c r="H224" s="135"/>
    </row>
    <row r="225" spans="1:8" ht="12.75">
      <c r="A225" s="225">
        <f t="shared" si="31"/>
        <v>2023</v>
      </c>
      <c r="B225" s="75" t="s">
        <v>31</v>
      </c>
      <c r="C225" s="76">
        <f>Indeks!H226</f>
        <v>132.55975256527307</v>
      </c>
      <c r="D225" s="151">
        <f t="shared" si="30"/>
        <v>-0.004433453570710369</v>
      </c>
      <c r="E225" s="151"/>
      <c r="F225" s="151"/>
      <c r="G225" s="151"/>
      <c r="H225" s="76"/>
    </row>
    <row r="226" spans="1:8" ht="12.75">
      <c r="A226" s="223">
        <f t="shared" si="31"/>
        <v>2023</v>
      </c>
      <c r="B226" s="33" t="s">
        <v>14</v>
      </c>
      <c r="C226" s="78">
        <f>Indeks!H227</f>
        <v>133.487318017577</v>
      </c>
      <c r="D226" s="148">
        <f t="shared" si="30"/>
        <v>0.006997338440618965</v>
      </c>
      <c r="E226" s="148"/>
      <c r="F226" s="148"/>
      <c r="G226" s="148"/>
      <c r="H226" s="78"/>
    </row>
    <row r="227" spans="1:8" ht="12.75">
      <c r="A227" s="224">
        <f t="shared" si="31"/>
        <v>2023</v>
      </c>
      <c r="B227" s="64" t="s">
        <v>15</v>
      </c>
      <c r="C227" s="139">
        <f>Indeks!H228</f>
        <v>134.01592181249458</v>
      </c>
      <c r="D227" s="91">
        <f t="shared" si="30"/>
        <v>0.003959955168535053</v>
      </c>
      <c r="E227" s="91">
        <f>(SUM(C225:C227)-SUM(C222:C224))/SUM(C222:C224)</f>
        <v>-0.0048961780469492415</v>
      </c>
      <c r="F227" s="91"/>
      <c r="G227" s="91"/>
      <c r="H227" s="139"/>
    </row>
    <row r="228" spans="1:27" ht="12.75">
      <c r="A228" s="70">
        <f t="shared" si="31"/>
        <v>2023</v>
      </c>
      <c r="B228" s="71" t="s">
        <v>16</v>
      </c>
      <c r="C228" s="76">
        <f>Indeks!H229</f>
        <v>136.52756409472568</v>
      </c>
      <c r="D228" s="151">
        <f t="shared" si="30"/>
        <v>0.018741372280714545</v>
      </c>
      <c r="E228" s="151"/>
      <c r="F228" s="151"/>
      <c r="G228" s="151"/>
      <c r="H228" s="76"/>
      <c r="W228" s="67"/>
      <c r="X228" s="67"/>
      <c r="Y228" s="67"/>
      <c r="Z228" s="67"/>
      <c r="AA228" s="67"/>
    </row>
    <row r="229" spans="1:8" ht="12.75">
      <c r="A229" s="223">
        <f t="shared" si="31"/>
        <v>2023</v>
      </c>
      <c r="B229" s="33" t="s">
        <v>17</v>
      </c>
      <c r="C229" s="78">
        <f>Indeks!H230</f>
        <v>137.5593426452115</v>
      </c>
      <c r="D229" s="148">
        <f t="shared" si="30"/>
        <v>0.00755729113990458</v>
      </c>
      <c r="E229" s="148"/>
      <c r="F229" s="148"/>
      <c r="G229" s="148"/>
      <c r="H229" s="78"/>
    </row>
    <row r="230" spans="1:8" ht="13.5" thickBot="1">
      <c r="A230" s="236">
        <f t="shared" si="31"/>
        <v>2023</v>
      </c>
      <c r="B230" s="73" t="s">
        <v>18</v>
      </c>
      <c r="C230" s="237">
        <f>Indeks!H231</f>
        <v>137.68703964326792</v>
      </c>
      <c r="D230" s="238">
        <f t="shared" si="30"/>
        <v>0.0009283047999565804</v>
      </c>
      <c r="E230" s="238">
        <f>(SUM(C228:C230)-SUM(C225:C227))/SUM(C225:C227)</f>
        <v>0.029272775064101725</v>
      </c>
      <c r="F230" s="238">
        <f>(SUM(C225:C230)-SUM(C219:C224))/SUM(C219:C224)</f>
        <v>0.006560599374280153</v>
      </c>
      <c r="G230" s="238">
        <f>(SUM(C219:C230)-SUM(C207:C218))/SUM(C207:C218)</f>
        <v>0.03129840446667922</v>
      </c>
      <c r="H230" s="239">
        <f>(C219+C220+C221+C222+C223+C224+C225+C226+C227+C228+C229+C230)/12</f>
        <v>134.86520462870638</v>
      </c>
    </row>
    <row r="231" spans="1:8" ht="12.75">
      <c r="A231" s="74">
        <v>2024</v>
      </c>
      <c r="B231" s="33" t="s">
        <v>8</v>
      </c>
      <c r="C231" s="230">
        <f>Indeks!H232</f>
        <v>138.40297673005605</v>
      </c>
      <c r="D231" s="176">
        <f aca="true" t="shared" si="32" ref="D231:D242">(C231-C230)/C230</f>
        <v>0.005199742028320498</v>
      </c>
      <c r="E231" s="176"/>
      <c r="F231" s="176"/>
      <c r="G231" s="176"/>
      <c r="H231" s="176"/>
    </row>
    <row r="232" spans="1:8" ht="12.75">
      <c r="A232" s="32">
        <f>A231</f>
        <v>2024</v>
      </c>
      <c r="B232" s="33" t="s">
        <v>9</v>
      </c>
      <c r="C232" s="230">
        <f>Indeks!H233</f>
        <v>138.51015592310546</v>
      </c>
      <c r="D232" s="176">
        <f t="shared" si="32"/>
        <v>0.0007743994788381527</v>
      </c>
      <c r="E232" s="176"/>
      <c r="F232" s="176"/>
      <c r="G232" s="176"/>
      <c r="H232" s="235"/>
    </row>
    <row r="233" spans="1:8" ht="12.75">
      <c r="A233" s="63">
        <f aca="true" t="shared" si="33" ref="A233:A242">A232</f>
        <v>2024</v>
      </c>
      <c r="B233" s="64" t="s">
        <v>10</v>
      </c>
      <c r="C233" s="231">
        <f>Indeks!H234</f>
        <v>138.61785963523735</v>
      </c>
      <c r="D233" s="233">
        <f t="shared" si="32"/>
        <v>0.0007775871120359289</v>
      </c>
      <c r="E233" s="233">
        <f>(SUM(C231:C233)-SUM(C228:C230))/SUM(C228:C230)</f>
        <v>0.00912404958641405</v>
      </c>
      <c r="F233" s="233"/>
      <c r="G233" s="233"/>
      <c r="H233" s="233"/>
    </row>
    <row r="234" spans="1:8" ht="12.75">
      <c r="A234" s="70">
        <f t="shared" si="33"/>
        <v>2024</v>
      </c>
      <c r="B234" s="71" t="s">
        <v>11</v>
      </c>
      <c r="C234" s="232">
        <f>Indeks!H235</f>
        <v>139.33975811017652</v>
      </c>
      <c r="D234" s="234">
        <f t="shared" si="32"/>
        <v>0.0052078316375594675</v>
      </c>
      <c r="E234" s="234"/>
      <c r="F234" s="234"/>
      <c r="G234" s="234"/>
      <c r="H234" s="235"/>
    </row>
    <row r="235" spans="1:8" ht="12.75">
      <c r="A235" s="32">
        <f t="shared" si="33"/>
        <v>2024</v>
      </c>
      <c r="B235" s="33" t="s">
        <v>12</v>
      </c>
      <c r="C235" s="230">
        <f>Indeks!H236</f>
        <v>139.44851878319682</v>
      </c>
      <c r="D235" s="176">
        <f t="shared" si="32"/>
        <v>0.0007805430014763032</v>
      </c>
      <c r="E235" s="176"/>
      <c r="F235" s="176"/>
      <c r="G235" s="176"/>
      <c r="H235" s="235"/>
    </row>
    <row r="236" spans="1:8" ht="12.75">
      <c r="A236" s="63">
        <f t="shared" si="33"/>
        <v>2024</v>
      </c>
      <c r="B236" s="64" t="s">
        <v>13</v>
      </c>
      <c r="C236" s="231">
        <f>Indeks!H237</f>
        <v>139.5578119252082</v>
      </c>
      <c r="D236" s="233">
        <f t="shared" si="32"/>
        <v>0.0007837526204297764</v>
      </c>
      <c r="E236" s="233">
        <f>(SUM(C234:C236)-SUM(C231:C233))/SUM(C231:C233)</f>
        <v>0.006774696911726106</v>
      </c>
      <c r="F236" s="233">
        <f>(SUM(C231:C236)-SUM(C225:C230))/SUM(C225:C230)</f>
        <v>0.027148484228361247</v>
      </c>
      <c r="G236" s="233"/>
      <c r="H236" s="233"/>
    </row>
    <row r="237" spans="1:8" ht="12.75">
      <c r="A237" s="70">
        <f t="shared" si="33"/>
        <v>2024</v>
      </c>
      <c r="B237" s="75" t="s">
        <v>31</v>
      </c>
      <c r="C237" s="232">
        <f>Indeks!H238</f>
        <v>140.28572723774533</v>
      </c>
      <c r="D237" s="234">
        <f t="shared" si="32"/>
        <v>0.005215869341138993</v>
      </c>
      <c r="E237" s="234"/>
      <c r="F237" s="234"/>
      <c r="G237" s="234"/>
      <c r="H237" s="235"/>
    </row>
    <row r="238" spans="1:8" ht="12.75">
      <c r="A238" s="32">
        <f t="shared" si="33"/>
        <v>2024</v>
      </c>
      <c r="B238" s="33" t="s">
        <v>14</v>
      </c>
      <c r="C238" s="230">
        <f>Indeks!H239</f>
        <v>140.39609336333046</v>
      </c>
      <c r="D238" s="176">
        <f t="shared" si="32"/>
        <v>0.0007867238368311751</v>
      </c>
      <c r="E238" s="176"/>
      <c r="F238" s="176"/>
      <c r="G238" s="176"/>
      <c r="H238" s="235"/>
    </row>
    <row r="239" spans="1:8" ht="12.75">
      <c r="A239" s="63">
        <f t="shared" si="33"/>
        <v>2024</v>
      </c>
      <c r="B239" s="64" t="s">
        <v>15</v>
      </c>
      <c r="C239" s="231">
        <f>Indeks!H240</f>
        <v>140.50700003111297</v>
      </c>
      <c r="D239" s="233">
        <f t="shared" si="32"/>
        <v>0.000789955511764037</v>
      </c>
      <c r="E239" s="233">
        <f>(SUM(C237:C239)-SUM(C234:C236))/SUM(C234:C236)</f>
        <v>0.006795167660429658</v>
      </c>
      <c r="F239" s="233"/>
      <c r="G239" s="233"/>
      <c r="H239" s="233"/>
    </row>
    <row r="240" spans="1:8" ht="12.75">
      <c r="A240" s="70">
        <f t="shared" si="33"/>
        <v>2024</v>
      </c>
      <c r="B240" s="71" t="s">
        <v>16</v>
      </c>
      <c r="C240" s="232">
        <f>Indeks!H241</f>
        <v>141.2409882281601</v>
      </c>
      <c r="D240" s="176">
        <f t="shared" si="32"/>
        <v>0.005223855017078122</v>
      </c>
      <c r="E240" s="234"/>
      <c r="F240" s="234"/>
      <c r="G240" s="234"/>
      <c r="H240" s="235"/>
    </row>
    <row r="241" spans="1:8" ht="12.75">
      <c r="A241" s="32">
        <f t="shared" si="33"/>
        <v>2024</v>
      </c>
      <c r="B241" s="33" t="s">
        <v>17</v>
      </c>
      <c r="C241" s="230">
        <f>Indeks!H242</f>
        <v>141.3529841507387</v>
      </c>
      <c r="D241" s="176">
        <f t="shared" si="32"/>
        <v>0.0007929420771093512</v>
      </c>
      <c r="E241" s="176"/>
      <c r="F241" s="176"/>
      <c r="G241" s="176"/>
      <c r="H241" s="235"/>
    </row>
    <row r="242" spans="1:8" ht="13.5" thickBot="1">
      <c r="A242" s="32">
        <f t="shared" si="33"/>
        <v>2024</v>
      </c>
      <c r="B242" s="33" t="s">
        <v>18</v>
      </c>
      <c r="C242" s="230">
        <f>Indeks!H243</f>
        <v>141.46552881396718</v>
      </c>
      <c r="D242" s="176">
        <f t="shared" si="32"/>
        <v>0.0007961958773255102</v>
      </c>
      <c r="E242" s="176">
        <f>(SUM(C240:C242)-SUM(C237:C239))/SUM(C237:C239)</f>
        <v>0.006815661812600891</v>
      </c>
      <c r="F242" s="176">
        <f>(SUM(C237:C242)-SUM(C231:C236))/SUM(C231:C236)</f>
        <v>0.01363659102247899</v>
      </c>
      <c r="G242" s="176">
        <f>(SUM(C231:C242)-SUM(C219:C230))/SUM(C219:C230)</f>
        <v>0.03753312276678288</v>
      </c>
      <c r="H242" s="239">
        <f>(C231+C232+C233+C234+C235+C236+C237+C238+C239+C240+C241+C242)/12</f>
        <v>139.9271169110029</v>
      </c>
    </row>
  </sheetData>
  <sheetProtection/>
  <printOptions/>
  <pageMargins left="0.7480314960629921" right="0.7480314960629921" top="0.7874015748031497" bottom="0.3937007874015748" header="0" footer="0"/>
  <pageSetup fitToHeight="0" fitToWidth="1" horizontalDpi="600" verticalDpi="600" orientation="portrait" paperSize="9" r:id="rId2"/>
  <headerFooter alignWithMargins="0">
    <oddHeader>&amp;L&amp;G&amp;R&amp;14
&amp;"Arial,Fed"Omkostningsindeks</oddHeader>
    <oddFooter>&amp;L&amp;D&amp;RKontaktinformation: FynBus (HNB/JNB)</oddFooter>
  </headerFooter>
  <ignoredErrors>
    <ignoredError sqref="D3:D86 C3:C8 A39 A51 A63 A75"/>
  </ignoredErrors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8"/>
  <sheetViews>
    <sheetView view="pageBreakPreview" zoomScale="80" zoomScaleSheetLayoutView="80" workbookViewId="0" topLeftCell="A1">
      <selection activeCell="F238" sqref="F238"/>
    </sheetView>
  </sheetViews>
  <sheetFormatPr defaultColWidth="9.140625" defaultRowHeight="12.75"/>
  <cols>
    <col min="1" max="1" width="12.140625" style="0" customWidth="1"/>
    <col min="2" max="2" width="53.421875" style="0" customWidth="1"/>
    <col min="3" max="3" width="13.140625" style="0" customWidth="1"/>
    <col min="4" max="4" width="12.140625" style="0" customWidth="1"/>
    <col min="5" max="5" width="6.8515625" style="0" customWidth="1"/>
    <col min="17" max="17" width="9.00390625" style="0" customWidth="1"/>
  </cols>
  <sheetData>
    <row r="1" ht="15.75">
      <c r="A1" s="82" t="s">
        <v>33</v>
      </c>
    </row>
    <row r="2" spans="1:2" ht="12.75">
      <c r="A2" s="6" t="s">
        <v>29</v>
      </c>
      <c r="B2" s="6" t="s">
        <v>30</v>
      </c>
    </row>
    <row r="3" spans="1:2" ht="12.75">
      <c r="A3" s="6"/>
      <c r="B3" s="6"/>
    </row>
    <row r="4" spans="1:5" ht="12.75">
      <c r="A4" s="2" t="s">
        <v>23</v>
      </c>
      <c r="B4" s="2" t="s">
        <v>24</v>
      </c>
      <c r="C4" s="2" t="s">
        <v>25</v>
      </c>
      <c r="D4" s="2" t="s">
        <v>38</v>
      </c>
      <c r="E4" s="2" t="s">
        <v>28</v>
      </c>
    </row>
    <row r="5" spans="1:5" ht="76.5">
      <c r="A5" s="152" t="s">
        <v>3</v>
      </c>
      <c r="B5" s="186" t="s">
        <v>68</v>
      </c>
      <c r="C5" t="s">
        <v>26</v>
      </c>
      <c r="D5" s="7" t="s">
        <v>39</v>
      </c>
      <c r="E5" s="5">
        <f>Indeks!C2</f>
        <v>0.6</v>
      </c>
    </row>
    <row r="6" spans="1:5" ht="25.5">
      <c r="A6" s="212" t="s">
        <v>4</v>
      </c>
      <c r="B6" s="213" t="s">
        <v>72</v>
      </c>
      <c r="C6" s="33" t="s">
        <v>27</v>
      </c>
      <c r="D6" s="214" t="s">
        <v>40</v>
      </c>
      <c r="E6" s="215">
        <f>Indeks!D2</f>
        <v>0.17</v>
      </c>
    </row>
    <row r="7" spans="1:5" ht="22.5">
      <c r="A7" s="152"/>
      <c r="B7" s="216" t="s">
        <v>74</v>
      </c>
      <c r="C7" s="67"/>
      <c r="D7" s="153"/>
      <c r="E7" s="154"/>
    </row>
    <row r="8" spans="1:5" ht="25.5">
      <c r="A8" s="152" t="s">
        <v>5</v>
      </c>
      <c r="B8" s="205" t="s">
        <v>73</v>
      </c>
      <c r="C8" s="67" t="s">
        <v>27</v>
      </c>
      <c r="D8" s="153" t="s">
        <v>40</v>
      </c>
      <c r="E8" s="154">
        <f>Indeks!E2</f>
        <v>0.08</v>
      </c>
    </row>
    <row r="9" spans="1:5" ht="22.5">
      <c r="A9" s="152"/>
      <c r="B9" s="216" t="s">
        <v>74</v>
      </c>
      <c r="C9" s="67"/>
      <c r="D9" s="153"/>
      <c r="E9" s="154"/>
    </row>
    <row r="10" spans="1:5" ht="89.25">
      <c r="A10" s="152" t="s">
        <v>6</v>
      </c>
      <c r="B10" s="186" t="s">
        <v>79</v>
      </c>
      <c r="C10" t="s">
        <v>27</v>
      </c>
      <c r="D10" s="7" t="s">
        <v>40</v>
      </c>
      <c r="E10" s="5">
        <f>Indeks!F2</f>
        <v>0.09</v>
      </c>
    </row>
    <row r="11" spans="1:5" ht="63.75">
      <c r="A11" s="152" t="s">
        <v>7</v>
      </c>
      <c r="B11" s="186" t="s">
        <v>81</v>
      </c>
      <c r="C11" t="s">
        <v>27</v>
      </c>
      <c r="D11" s="7" t="s">
        <v>40</v>
      </c>
      <c r="E11" s="5">
        <f>Indeks!G2</f>
        <v>0.06</v>
      </c>
    </row>
    <row r="126" ht="12.75">
      <c r="F126" s="201"/>
    </row>
    <row r="208" spans="23:27" ht="12.75">
      <c r="W208" s="67"/>
      <c r="X208" s="67"/>
      <c r="Y208" s="67"/>
      <c r="Z208" s="67"/>
      <c r="AA208" s="67"/>
    </row>
    <row r="209" spans="23:27" ht="12.75">
      <c r="W209" s="67"/>
      <c r="X209" s="67"/>
      <c r="Y209" s="67"/>
      <c r="Z209" s="67"/>
      <c r="AA209" s="67"/>
    </row>
    <row r="210" spans="23:27" ht="12.75">
      <c r="W210" s="67"/>
      <c r="X210" s="67"/>
      <c r="Y210" s="67"/>
      <c r="Z210" s="67"/>
      <c r="AA210" s="67"/>
    </row>
    <row r="211" spans="23:27" ht="12.75">
      <c r="W211" s="67"/>
      <c r="X211" s="67"/>
      <c r="Y211" s="67"/>
      <c r="Z211" s="67"/>
      <c r="AA211" s="67"/>
    </row>
    <row r="212" spans="23:27" ht="12.75">
      <c r="W212" s="67"/>
      <c r="X212" s="67"/>
      <c r="Y212" s="67"/>
      <c r="Z212" s="67"/>
      <c r="AA212" s="67"/>
    </row>
    <row r="213" spans="23:27" ht="12.75">
      <c r="W213" s="67"/>
      <c r="X213" s="67"/>
      <c r="Y213" s="67"/>
      <c r="Z213" s="67"/>
      <c r="AA213" s="67"/>
    </row>
    <row r="214" spans="23:27" ht="12.75">
      <c r="W214" s="67"/>
      <c r="X214" s="67"/>
      <c r="Y214" s="67"/>
      <c r="Z214" s="67"/>
      <c r="AA214" s="67"/>
    </row>
    <row r="215" spans="23:27" ht="12.75">
      <c r="W215" s="67"/>
      <c r="X215" s="67"/>
      <c r="Y215" s="67"/>
      <c r="Z215" s="67"/>
      <c r="AA215" s="67"/>
    </row>
    <row r="216" spans="23:27" ht="12.75">
      <c r="W216" s="67"/>
      <c r="X216" s="67"/>
      <c r="Y216" s="67"/>
      <c r="Z216" s="67"/>
      <c r="AA216" s="67"/>
    </row>
    <row r="217" spans="23:27" ht="12.75">
      <c r="W217" s="67"/>
      <c r="X217" s="67"/>
      <c r="Y217" s="67"/>
      <c r="Z217" s="67"/>
      <c r="AA217" s="67"/>
    </row>
    <row r="218" spans="23:27" ht="12.75">
      <c r="W218" s="67"/>
      <c r="X218" s="67"/>
      <c r="Y218" s="67"/>
      <c r="Z218" s="67"/>
      <c r="AA218" s="67"/>
    </row>
  </sheetData>
  <sheetProtection/>
  <printOptions/>
  <pageMargins left="0.7480314960629921" right="0.7480314960629921" top="0.7874015748031497" bottom="0.3937007874015748" header="0" footer="0"/>
  <pageSetup fitToHeight="0" fitToWidth="1" horizontalDpi="600" verticalDpi="600" orientation="portrait" paperSize="9" scale="82" r:id="rId4"/>
  <headerFooter alignWithMargins="0">
    <oddHeader>&amp;L&amp;G&amp;R&amp;14
&amp;"Arial,Fed"Omkostningsindeks</oddHeader>
    <oddFooter>&amp;L&amp;D&amp;RKontaktinformation: FynBus (HNB/JNB)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7.00390625" style="0" customWidth="1"/>
    <col min="2" max="2" width="11.421875" style="0" customWidth="1"/>
    <col min="3" max="8" width="6.140625" style="0" customWidth="1"/>
    <col min="9" max="9" width="7.421875" style="0" customWidth="1"/>
  </cols>
  <sheetData>
    <row r="2" ht="12.75">
      <c r="A2" s="2" t="s">
        <v>58</v>
      </c>
    </row>
    <row r="3" spans="1:11" ht="12.75">
      <c r="A3" s="188"/>
      <c r="B3" s="188" t="s">
        <v>2</v>
      </c>
      <c r="C3" s="188" t="s">
        <v>49</v>
      </c>
      <c r="D3" s="188" t="s">
        <v>50</v>
      </c>
      <c r="E3" s="188" t="s">
        <v>51</v>
      </c>
      <c r="F3" s="188" t="s">
        <v>53</v>
      </c>
      <c r="G3" s="188" t="s">
        <v>54</v>
      </c>
      <c r="H3" s="188" t="s">
        <v>60</v>
      </c>
      <c r="I3" s="195" t="s">
        <v>63</v>
      </c>
      <c r="J3" s="195" t="s">
        <v>62</v>
      </c>
      <c r="K3" s="195" t="s">
        <v>64</v>
      </c>
    </row>
    <row r="4" spans="1:11" ht="12.75">
      <c r="A4" s="188"/>
      <c r="B4" s="188" t="s">
        <v>52</v>
      </c>
      <c r="C4" s="188" t="s">
        <v>51</v>
      </c>
      <c r="D4" s="188" t="s">
        <v>53</v>
      </c>
      <c r="E4" s="188" t="s">
        <v>54</v>
      </c>
      <c r="F4" s="188" t="s">
        <v>60</v>
      </c>
      <c r="G4" s="188" t="s">
        <v>61</v>
      </c>
      <c r="H4" s="188" t="s">
        <v>62</v>
      </c>
      <c r="I4" s="195" t="s">
        <v>64</v>
      </c>
      <c r="J4" s="195" t="s">
        <v>65</v>
      </c>
      <c r="K4" s="196" t="s">
        <v>66</v>
      </c>
    </row>
    <row r="5" spans="1:11" ht="12.75">
      <c r="A5" s="188" t="s">
        <v>57</v>
      </c>
      <c r="B5" s="188" t="s">
        <v>55</v>
      </c>
      <c r="C5" s="189">
        <v>99.1</v>
      </c>
      <c r="D5" s="190"/>
      <c r="E5" s="190"/>
      <c r="F5" s="190"/>
      <c r="G5" s="190"/>
      <c r="H5" s="190"/>
      <c r="I5" s="190"/>
      <c r="J5" s="190"/>
      <c r="K5" s="190"/>
    </row>
    <row r="6" spans="1:11" ht="12.75">
      <c r="A6" s="193" t="s">
        <v>58</v>
      </c>
      <c r="B6" s="188" t="s">
        <v>56</v>
      </c>
      <c r="C6" s="191">
        <v>100.2</v>
      </c>
      <c r="D6" s="191">
        <v>100</v>
      </c>
      <c r="E6" s="191">
        <v>100.2</v>
      </c>
      <c r="F6" s="191">
        <v>99.9</v>
      </c>
      <c r="G6" s="191">
        <v>99.8</v>
      </c>
      <c r="H6" s="191">
        <v>100</v>
      </c>
      <c r="I6" s="191">
        <v>100.1</v>
      </c>
      <c r="J6" s="191">
        <v>100</v>
      </c>
      <c r="K6" s="191">
        <v>100</v>
      </c>
    </row>
    <row r="7" spans="1:11" ht="12.75">
      <c r="A7" s="188" t="s">
        <v>59</v>
      </c>
      <c r="B7" s="188" t="s">
        <v>55</v>
      </c>
      <c r="C7" s="190">
        <f>+C5/C6</f>
        <v>0.9890219560878243</v>
      </c>
      <c r="D7" s="192">
        <f aca="true" t="shared" si="0" ref="D7:J7">+$C7*D6</f>
        <v>98.90219560878243</v>
      </c>
      <c r="E7" s="192">
        <f t="shared" si="0"/>
        <v>99.1</v>
      </c>
      <c r="F7" s="192">
        <f t="shared" si="0"/>
        <v>98.80329341317365</v>
      </c>
      <c r="G7" s="192">
        <f t="shared" si="0"/>
        <v>98.70439121756486</v>
      </c>
      <c r="H7" s="192">
        <f t="shared" si="0"/>
        <v>98.90219560878243</v>
      </c>
      <c r="I7" s="192">
        <f t="shared" si="0"/>
        <v>99.00109780439121</v>
      </c>
      <c r="J7" s="192">
        <f t="shared" si="0"/>
        <v>98.90219560878243</v>
      </c>
      <c r="K7" s="192">
        <f>+$C7*K6</f>
        <v>98.90219560878243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Danske Busvognmænd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Henning Korshøj Nielsen</dc:creator>
  <cp:keywords/>
  <dc:description/>
  <cp:lastModifiedBy>Helle Nonnemann Bonde</cp:lastModifiedBy>
  <cp:lastPrinted>2023-10-16T11:13:03Z</cp:lastPrinted>
  <dcterms:created xsi:type="dcterms:W3CDTF">2009-05-19T06:17:18Z</dcterms:created>
  <dcterms:modified xsi:type="dcterms:W3CDTF">2023-10-16T11:13:13Z</dcterms:modified>
  <cp:category/>
  <cp:version/>
  <cp:contentType/>
  <cp:contentStatus/>
</cp:coreProperties>
</file>